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25" windowWidth="12120" windowHeight="7290" tabRatio="865" activeTab="0"/>
  </bookViews>
  <sheets>
    <sheet name="Balance sheet(gfs)" sheetId="1" r:id="rId1"/>
    <sheet name="Profit &amp; Loss(gfs)" sheetId="2" r:id="rId2"/>
    <sheet name="Profit &amp; Loss (cl)" sheetId="3" r:id="rId3"/>
    <sheet name="Balance sheet (cl)" sheetId="4" r:id="rId4"/>
    <sheet name="Profit &amp; Loss (imfl)" sheetId="5" r:id="rId5"/>
    <sheet name="Balance sheet (imfl)" sheetId="6" r:id="rId6"/>
    <sheet name="Profit &amp; Loss (ina)" sheetId="7" r:id="rId7"/>
    <sheet name="Balance sheet (ina)" sheetId="8" r:id="rId8"/>
    <sheet name="Profit &amp; Loss (pitam)" sheetId="9" r:id="rId9"/>
    <sheet name="Balance sheet (pitam)" sheetId="10" r:id="rId10"/>
    <sheet name="Profit &amp; Loss (tourism)" sheetId="11" r:id="rId11"/>
    <sheet name="Balance sheet (tourism)" sheetId="12" r:id="rId12"/>
    <sheet name="Profit &amp; Loss (travel)" sheetId="13" r:id="rId13"/>
    <sheet name="Balance sheet (travel)" sheetId="14" r:id="rId14"/>
    <sheet name="Balance sheet (cat)" sheetId="15" r:id="rId15"/>
    <sheet name="Profit &amp; Loss (cat)" sheetId="16" r:id="rId16"/>
    <sheet name="Balance sheet (engg)" sheetId="17" r:id="rId17"/>
    <sheet name="Profit &amp; Loss (engg)" sheetId="18" r:id="rId18"/>
    <sheet name="Balance sheet (corp)" sheetId="19" r:id="rId19"/>
    <sheet name="Profit &amp; Loss (corp)" sheetId="20" r:id="rId20"/>
    <sheet name="Balance sheet (2)" sheetId="21" state="hidden" r:id="rId21"/>
    <sheet name="NOTE 1" sheetId="22" state="hidden" r:id="rId22"/>
    <sheet name="NOTE 2" sheetId="23" state="hidden" r:id="rId23"/>
    <sheet name="Sheet1" sheetId="24" state="hidden" r:id="rId24"/>
    <sheet name="10(a" sheetId="25" state="hidden" r:id="rId25"/>
    <sheet name="bprofile" sheetId="26" state="hidden" r:id="rId26"/>
  </sheets>
  <externalReferences>
    <externalReference r:id="rId29"/>
    <externalReference r:id="rId30"/>
  </externalReferences>
  <definedNames>
    <definedName name="_xlnm.Print_Area" localSheetId="24">'10(a'!$A$1:$T$120</definedName>
    <definedName name="_xlnm.Print_Area" localSheetId="14">'Balance sheet (cat)'!$A$1:$AF$52</definedName>
    <definedName name="_xlnm.Print_Area" localSheetId="3">'Balance sheet (cl)'!$A$1:$AF$52</definedName>
    <definedName name="_xlnm.Print_Area" localSheetId="18">'Balance sheet (corp)'!$A$1:$AF$52</definedName>
    <definedName name="_xlnm.Print_Area" localSheetId="16">'Balance sheet (engg)'!$A$1:$AF$52</definedName>
    <definedName name="_xlnm.Print_Area" localSheetId="5">'Balance sheet (imfl)'!$A$1:$AF$52</definedName>
    <definedName name="_xlnm.Print_Area" localSheetId="7">'Balance sheet (ina)'!$A$1:$AF$52</definedName>
    <definedName name="_xlnm.Print_Area" localSheetId="9">'Balance sheet (pitam)'!$A$1:$AF$52</definedName>
    <definedName name="_xlnm.Print_Area" localSheetId="11">'Balance sheet (tourism)'!$A$1:$AF$52</definedName>
    <definedName name="_xlnm.Print_Area" localSheetId="13">'Balance sheet (travel)'!$A$1:$AF$52</definedName>
    <definedName name="_xlnm.Print_Area" localSheetId="0">'Balance sheet(gfs)'!$A$1:$AF$52</definedName>
    <definedName name="_xlnm.Print_Area" localSheetId="15">'Profit &amp; Loss (cat)'!$A$1:$AE$44</definedName>
    <definedName name="_xlnm.Print_Area" localSheetId="2">'Profit &amp; Loss (cl)'!$A$1:$AE$44</definedName>
    <definedName name="_xlnm.Print_Area" localSheetId="19">'Profit &amp; Loss (corp)'!$A$1:$AE$44</definedName>
    <definedName name="_xlnm.Print_Area" localSheetId="17">'Profit &amp; Loss (engg)'!$A$1:$AE$44</definedName>
    <definedName name="_xlnm.Print_Area" localSheetId="4">'Profit &amp; Loss (imfl)'!$A$1:$AE$44</definedName>
    <definedName name="_xlnm.Print_Area" localSheetId="6">'Profit &amp; Loss (ina)'!$A$1:$AE$44</definedName>
    <definedName name="_xlnm.Print_Area" localSheetId="8">'Profit &amp; Loss (pitam)'!$A$1:$AE$44</definedName>
    <definedName name="_xlnm.Print_Area" localSheetId="10">'Profit &amp; Loss (tourism)'!$A$1:$AE$44</definedName>
    <definedName name="_xlnm.Print_Area" localSheetId="12">'Profit &amp; Loss (travel)'!$A$1:$AE$44</definedName>
    <definedName name="_xlnm.Print_Area" localSheetId="1">'Profit &amp; Loss(gfs)'!$A$1:$AE$44</definedName>
  </definedNames>
  <calcPr fullCalcOnLoad="1"/>
</workbook>
</file>

<file path=xl/sharedStrings.xml><?xml version="1.0" encoding="utf-8"?>
<sst xmlns="http://schemas.openxmlformats.org/spreadsheetml/2006/main" count="2633" uniqueCount="410">
  <si>
    <t>Assets costing Rs. 5,000 or less each acquired during the year are fully depreciated.</t>
  </si>
  <si>
    <t>4</t>
  </si>
  <si>
    <t>Inventory Valuation:</t>
  </si>
  <si>
    <t>a)</t>
  </si>
  <si>
    <t>Raw Materials are valued at lower of cost and net realisable value. Cost includes all charges and levies incurred for bringing the goods to their present condition and location on First-in-first-out basis.</t>
  </si>
  <si>
    <t>b)</t>
  </si>
  <si>
    <t>Finished goods and work-in-progress are valued at lower of cost and net realisable value.</t>
  </si>
  <si>
    <t>c)</t>
  </si>
  <si>
    <t>Stores and spares are valued at cost.</t>
  </si>
  <si>
    <t>5</t>
  </si>
  <si>
    <t>Excise Duty:</t>
  </si>
  <si>
    <t>Excise Duty in respect of goods manufactured by the company, consistent with the accepted practice of Excise Authority, that excise duty is generally payable on removal of goods, is accounted at the time of removal of goods from the factory premises.</t>
  </si>
  <si>
    <t>6</t>
  </si>
  <si>
    <t>Revenue Recognition:</t>
  </si>
  <si>
    <t>Revenue is recognized to the extent that it can be reliably measured and it is probable that the economic benefits will flow to the Company.</t>
  </si>
  <si>
    <t>Sales include excise duty and are net of sales returns, rebate and trade discount.</t>
  </si>
  <si>
    <t>Revenue in respect of Commission received is recognised to the extent company is reasonably certain of its actual realisation.</t>
  </si>
  <si>
    <t>Income on account of service contracts is recognised on a time proportion basis over the period of the service contracts.</t>
  </si>
  <si>
    <t>d)</t>
  </si>
  <si>
    <t xml:space="preserve">Revenue on account of interest is recognized on a time proportion basis taking into account the amount outstanding based on interest rates implicit in the transaction. </t>
  </si>
  <si>
    <t>SIGNIFICANT ACCOUNTING POLICIES(Contd.):</t>
  </si>
  <si>
    <t>7</t>
  </si>
  <si>
    <t>Expenditure:</t>
  </si>
  <si>
    <t>Expenses are accounted for on an accrual basis and provisions are made for all known losses and liabilities.</t>
  </si>
  <si>
    <t>8</t>
  </si>
  <si>
    <t>Borrowing Costs:</t>
  </si>
  <si>
    <t>Borrowing costs directly attributable to the acquisition of qualifying assets are capitalised as part of the cost of assets. All other borrowing costs are charged to revenue.</t>
  </si>
  <si>
    <t>9</t>
  </si>
  <si>
    <t>Foreign Currency Transactions:</t>
  </si>
  <si>
    <t>Foreign currency transactions are accounted at the exchange rate prevailing on the date of transaction. Current assets and Current liabilities as at the year - end in respect of foreign currency transactions are converted at the exchange rate prevailing as at the year end and resultant gain/ loss is recognised in the profit and loss account.</t>
  </si>
  <si>
    <t>10</t>
  </si>
  <si>
    <t>Retirement Benefits:</t>
  </si>
  <si>
    <t>Gratuity to employees payable on death/ retirement is covered by Group Gratuity- cum - Life Assurance Policy from Life Insurance Corporation of India. The premium paid to Life Insurance Corporation of India based on acturial valuation, is charged to revenue.</t>
  </si>
  <si>
    <t>Estimated liability for accumulated leave benefits of eligible employees is accounted for on accrual basis, and computation is based on the salary last drawn and on the presumption of cessation of service as at the year end of such employees.</t>
  </si>
  <si>
    <t>Taxation:</t>
  </si>
  <si>
    <t>Provision for tax comprises current tax and deferred tax .</t>
  </si>
  <si>
    <t>Provision for current year Income tax has been made in accordance with the provisions of the Income tax Act, 1961. Deferred tax arising on account of timing differences is recognised in accordance with Accounting Standard (AS 22) on "Accounting for Taxes on Income" issued by The Institute of Chartered Accountants of India.</t>
  </si>
  <si>
    <t>Earnings per share:</t>
  </si>
  <si>
    <t>Basic:</t>
  </si>
  <si>
    <t>Basic earnings per share are calculated by dividing the net profit or loss for the period attributable to equity shareholders by the weighted average number of equity shares outstanding during the period. The weighted average number of equity shares outstanding during the period are adjusted for events of bonus issue and share split.</t>
  </si>
  <si>
    <t>Impairment of assets:</t>
  </si>
  <si>
    <t xml:space="preserve"> Based on tests for impairment on an annual basis in the carrying amount of assets, the Company accounts for:</t>
  </si>
  <si>
    <t>i)</t>
  </si>
  <si>
    <t xml:space="preserve"> provision for impairment loss; if any, or</t>
  </si>
  <si>
    <t>ii)</t>
  </si>
  <si>
    <t xml:space="preserve"> the reversal, if any, of such loss recognized in previous periods.</t>
  </si>
  <si>
    <t>B.</t>
  </si>
  <si>
    <t>NOTES ON ACCOUNTS:</t>
  </si>
  <si>
    <t>CONTINGENT LIABILITIES</t>
  </si>
  <si>
    <t>CURRENT ASSETS, LOANS AND ADVANCES:</t>
  </si>
  <si>
    <t>In the opinion of the Board, the Current Assets, Loans and Advances have a value on realisation in the ordinary course of business equal atleast to the aggregate amount shown in the Balance Sheet.</t>
  </si>
  <si>
    <t>3</t>
  </si>
  <si>
    <t xml:space="preserve">The Company is a medium sized company (SMC) as defined in the general instructions in respect of Accounting Standards notified under the Companies Act, 1956. Accordingly, the Company has complied with the Accounting Standards as applicable to a small and medium sized company. </t>
  </si>
  <si>
    <t>There are no amounts payable to Micro, Small and Medium Enterprises as defined under "The Micro, Small and Medium Enterprises Development Act, 2006" based on information available with the Company. Further, the Company has not paid any interest to any Micro, Small and Medium Enterprises during the current year. This information has been determined to the extent such parties have been identified on the basis of information  available with the Company and relied upon by the Auditors.</t>
  </si>
  <si>
    <t>2010-11</t>
  </si>
  <si>
    <t>AUDITOR'S REMUNERATION:</t>
  </si>
  <si>
    <t>Amount (Rs.)</t>
  </si>
  <si>
    <t>This comprises of:</t>
  </si>
  <si>
    <t>Audit Fee</t>
  </si>
  <si>
    <t>EARNINGS PER SHARES (Face value Rs.10 each):</t>
  </si>
  <si>
    <t>Net Profit as per Profit and Loss Account (Rs.)</t>
  </si>
  <si>
    <t>Weighted Average No. of shares</t>
  </si>
  <si>
    <t>Basic and Diluted earnings per share (Rs.)</t>
  </si>
  <si>
    <t>Figures for previous year have been regrouped/reaaranged wherever necessary.</t>
  </si>
  <si>
    <t xml:space="preserve">                            FOR K. C. KHANNA &amp; CO.,</t>
  </si>
  <si>
    <t xml:space="preserve">                                 Chartered Accountants</t>
  </si>
  <si>
    <t>DIRECTOR</t>
  </si>
  <si>
    <t xml:space="preserve">                            Firm Registration No. 000481N</t>
  </si>
  <si>
    <t xml:space="preserve">       (Onkar Nath)</t>
  </si>
  <si>
    <t xml:space="preserve">             Partner</t>
  </si>
  <si>
    <t>PLACE: NEW DELHI</t>
  </si>
  <si>
    <t xml:space="preserve">                      Partner</t>
  </si>
  <si>
    <t xml:space="preserve">                             Membership No. 009128</t>
  </si>
  <si>
    <t>ADDITIONAL  INFORMATION  AS  REQUIRED  UNDER  PART  IV  OF THE  SCHEDULE VI OF THE COMPANIES ACT, 1956</t>
  </si>
  <si>
    <t>BALANCE SHEET ABSTRACT AND COMPANY'S GENERAL BUSINESS PROFILE</t>
  </si>
  <si>
    <t>Registration Details</t>
  </si>
  <si>
    <t>Registration No.</t>
  </si>
  <si>
    <t>056699</t>
  </si>
  <si>
    <r>
      <t xml:space="preserve">State Code </t>
    </r>
    <r>
      <rPr>
        <u val="single"/>
        <sz val="10"/>
        <rFont val="Arial"/>
        <family val="2"/>
      </rPr>
      <t>55</t>
    </r>
  </si>
  <si>
    <t>Balance Sheet Date</t>
  </si>
  <si>
    <t>Capital Raised during the Year (Amount in Rs. Thousands)</t>
  </si>
  <si>
    <t>Public Issue - Nil</t>
  </si>
  <si>
    <t>Rights Issue     -    Nil</t>
  </si>
  <si>
    <t>Bonus Issue - Nil</t>
  </si>
  <si>
    <t>Private Placement - Nil</t>
  </si>
  <si>
    <t>Position of Mobilisation and Deployment of Funds (Amount in Rs.Thousands)</t>
  </si>
  <si>
    <t>Total Liabilities</t>
  </si>
  <si>
    <t>Total Assets</t>
  </si>
  <si>
    <t>Sources of Funds</t>
  </si>
  <si>
    <t>Paid up Capital</t>
  </si>
  <si>
    <t>Secured Loans</t>
  </si>
  <si>
    <t>Unsecured Loans</t>
  </si>
  <si>
    <t>Nil</t>
  </si>
  <si>
    <t>Application of Funds</t>
  </si>
  <si>
    <t>Net Fixed Assets</t>
  </si>
  <si>
    <t>Investments</t>
  </si>
  <si>
    <t>Net Current Assets</t>
  </si>
  <si>
    <t>Deferred Tax Asset</t>
  </si>
  <si>
    <t>Performance of Company (Amount in Rs.Thousands)</t>
  </si>
  <si>
    <t>Turnover</t>
  </si>
  <si>
    <t>Total Expenditure</t>
  </si>
  <si>
    <t>Profit/(Loss) Before Tax</t>
  </si>
  <si>
    <t>Profit/(Loss) After Tax</t>
  </si>
  <si>
    <t>Earning per Share in Rs.</t>
  </si>
  <si>
    <t>Dividend Rate  %</t>
  </si>
  <si>
    <t xml:space="preserve"> Generic Names of Three Principal Products / Services of the Company (as per monetary terms)</t>
  </si>
  <si>
    <t xml:space="preserve">         Items Code No.</t>
  </si>
  <si>
    <t>-</t>
  </si>
  <si>
    <t>Product Description</t>
  </si>
  <si>
    <t>PLACE: New Delhi</t>
  </si>
  <si>
    <t>SCHEDULES FORMING PART OF THE ACCOUNTS FOR THE YEAR ENDED MARCH 31, 2012</t>
  </si>
  <si>
    <t>2011-12</t>
  </si>
  <si>
    <t xml:space="preserve"> Schedules 1 to 8 are annexed to and form an integral part of the Balance Sheet as at March 31, 2012 and the Profit and Loss Account for the year ended on that date.</t>
  </si>
  <si>
    <t xml:space="preserve">DATED : </t>
  </si>
  <si>
    <t>In respect of guarantees and letter of credits given on behalf of the company Rs.NIL (Previous year Rs. NIL).</t>
  </si>
  <si>
    <t>In respect of demand from Sales Tax Authorities Rs. 358,844  (Previous year Rs.NIL).</t>
  </si>
  <si>
    <t>31.3.2012</t>
  </si>
  <si>
    <t>(0.69)</t>
  </si>
  <si>
    <t>(417)</t>
  </si>
  <si>
    <t>The case is pending in front of Commercial Appellate Tribunal i.e. Second Appeal for the Sale Tax for the year 2004-05.</t>
  </si>
  <si>
    <t xml:space="preserve">Total demand raised by the Sale Tax department is Rs. 3,98,715 against which 10% of the amount has already been paid in the year        </t>
  </si>
  <si>
    <t>and the indemnity bond is given for the balance 90 % demand.</t>
  </si>
  <si>
    <t>Total (5)</t>
  </si>
  <si>
    <t>Total (6)</t>
  </si>
  <si>
    <t>Total (5 + 6)</t>
  </si>
  <si>
    <t>ii.</t>
  </si>
  <si>
    <t>Interunit Transfer of Funds</t>
  </si>
  <si>
    <t xml:space="preserve">iv. </t>
  </si>
  <si>
    <t>iii.</t>
  </si>
  <si>
    <t>Long Term Borrowings</t>
  </si>
  <si>
    <t xml:space="preserve">Secured </t>
  </si>
  <si>
    <t>Bonds / Debentures</t>
  </si>
  <si>
    <t>Term Loans from Banks</t>
  </si>
  <si>
    <t>Term Loans from Other Parties</t>
  </si>
  <si>
    <t>Deffered Payment Liabilities</t>
  </si>
  <si>
    <t>Deposits</t>
  </si>
  <si>
    <t>v</t>
  </si>
  <si>
    <t>Loans and advances from Related parties</t>
  </si>
  <si>
    <t>vii.</t>
  </si>
  <si>
    <t xml:space="preserve"> Long term maturities of finance lease obligations</t>
  </si>
  <si>
    <t>viii.</t>
  </si>
  <si>
    <t xml:space="preserve">Unsecured </t>
  </si>
  <si>
    <t>As at 31.03.2012</t>
  </si>
  <si>
    <t>As at 31.03.2011</t>
  </si>
  <si>
    <t>Loan Repayable on demand from Bank</t>
  </si>
  <si>
    <t>i.</t>
  </si>
  <si>
    <t>A</t>
  </si>
  <si>
    <t>B</t>
  </si>
  <si>
    <t>Long term maturities of finance lease obligations</t>
  </si>
  <si>
    <t>Loans and advances from related parties</t>
  </si>
  <si>
    <t>Loan Repayable on demand from Other</t>
  </si>
  <si>
    <t>GFS</t>
  </si>
  <si>
    <t>CL</t>
  </si>
  <si>
    <t>IMFL</t>
  </si>
  <si>
    <t xml:space="preserve">INA </t>
  </si>
  <si>
    <t>Pitampura</t>
  </si>
  <si>
    <t>Tourism</t>
  </si>
  <si>
    <t>Travel</t>
  </si>
  <si>
    <t>Catering</t>
  </si>
  <si>
    <t>Corporate</t>
  </si>
  <si>
    <t>Engineering</t>
  </si>
  <si>
    <t>Dilli Haat INA</t>
  </si>
  <si>
    <t>Dilli Haat Pitampura</t>
  </si>
  <si>
    <t>PNB Bank ( Defence Colony ,5457)</t>
  </si>
  <si>
    <t>T</t>
  </si>
  <si>
    <t>C</t>
  </si>
  <si>
    <t>D</t>
  </si>
  <si>
    <t>E</t>
  </si>
  <si>
    <t>F</t>
  </si>
  <si>
    <t>G</t>
  </si>
  <si>
    <t>H</t>
  </si>
  <si>
    <t>J</t>
  </si>
  <si>
    <t>K</t>
  </si>
  <si>
    <t>L</t>
  </si>
  <si>
    <t>M</t>
  </si>
  <si>
    <t>N</t>
  </si>
  <si>
    <t>O</t>
  </si>
  <si>
    <t>P</t>
  </si>
  <si>
    <t>Q</t>
  </si>
  <si>
    <t>R</t>
  </si>
  <si>
    <t>S</t>
  </si>
  <si>
    <t>`</t>
  </si>
  <si>
    <t>CONSOLIDATED                                                                  Balance Sheet as at 31st March 2011</t>
  </si>
  <si>
    <t xml:space="preserve"> </t>
  </si>
  <si>
    <t>DELHI TOURISM AND TRANSPORTATION DEVELOPMENT CORPORATION LIMITED</t>
  </si>
  <si>
    <t>AS AT 31.03.2012</t>
  </si>
  <si>
    <t>AS AT 31.03.2011</t>
  </si>
  <si>
    <t>(RS.)</t>
  </si>
  <si>
    <t>SIGNIFICANT ACCOUNTING POLICIES &amp; NOTES ON ACCOUNTS</t>
  </si>
  <si>
    <t xml:space="preserve">                                                                                      </t>
  </si>
  <si>
    <t>(MANISH CHATRATH)</t>
  </si>
  <si>
    <t>CHAIRMAN</t>
  </si>
  <si>
    <t xml:space="preserve">DATE:  </t>
  </si>
  <si>
    <t>YEAR ENDED 31.03.2011</t>
  </si>
  <si>
    <t>X.</t>
  </si>
  <si>
    <t>XI.</t>
  </si>
  <si>
    <t>XII.</t>
  </si>
  <si>
    <t>XIII.</t>
  </si>
  <si>
    <t>XIV.</t>
  </si>
  <si>
    <t>XV.</t>
  </si>
  <si>
    <t>XVI.</t>
  </si>
  <si>
    <t>NOTES FORMING PART OF BALANCE SHEET AS AT 31.03.2012</t>
  </si>
  <si>
    <t>NOTE NO.</t>
  </si>
  <si>
    <t>TRADE PAYABLES</t>
  </si>
  <si>
    <t>CAPITAL WORK IN PROGRESS</t>
  </si>
  <si>
    <t>DILLI HAAT INA</t>
  </si>
  <si>
    <t>Particulars</t>
  </si>
  <si>
    <t>Note No</t>
  </si>
  <si>
    <t>Figures as at the end of</t>
  </si>
  <si>
    <t>Total</t>
  </si>
  <si>
    <t>iv</t>
  </si>
  <si>
    <t>i</t>
  </si>
  <si>
    <t>ii</t>
  </si>
  <si>
    <t>iii</t>
  </si>
  <si>
    <t>vi</t>
  </si>
  <si>
    <t>Others</t>
  </si>
  <si>
    <t>PARTICULARS</t>
  </si>
  <si>
    <t>AMOUNT</t>
  </si>
  <si>
    <t>T.D.S. Payable</t>
  </si>
  <si>
    <t xml:space="preserve">    - Professional Fees</t>
  </si>
  <si>
    <t xml:space="preserve">    - Salary Payable</t>
  </si>
  <si>
    <t>I</t>
  </si>
  <si>
    <t>Service Tax Payable</t>
  </si>
  <si>
    <t xml:space="preserve">     - Service Tax</t>
  </si>
  <si>
    <t xml:space="preserve">     - Education Cess Payable</t>
  </si>
  <si>
    <t xml:space="preserve">     - Secondary and Higher Education Cess payable</t>
  </si>
  <si>
    <t xml:space="preserve">     - Interest Payable</t>
  </si>
  <si>
    <t xml:space="preserve">    - Contractors 1%</t>
  </si>
  <si>
    <t xml:space="preserve">    - Contractors 2%</t>
  </si>
  <si>
    <t xml:space="preserve">    - Interest Payable</t>
  </si>
  <si>
    <t xml:space="preserve">    - Rent </t>
  </si>
  <si>
    <t>( In Rupees )</t>
  </si>
  <si>
    <t>U</t>
  </si>
  <si>
    <t>V</t>
  </si>
  <si>
    <t>W</t>
  </si>
  <si>
    <t>X</t>
  </si>
  <si>
    <t>Current Year</t>
  </si>
  <si>
    <t>Previous Year</t>
  </si>
  <si>
    <t>Reserves &amp; Surplus</t>
  </si>
  <si>
    <t>EQUITY AND LIABILITIES</t>
  </si>
  <si>
    <t>Shareholders fund</t>
  </si>
  <si>
    <t>(a)</t>
  </si>
  <si>
    <t>(b)</t>
  </si>
  <si>
    <t>(c)</t>
  </si>
  <si>
    <t>Share capital</t>
  </si>
  <si>
    <t>Reserves and surplus</t>
  </si>
  <si>
    <t>Money received against Share warrants</t>
  </si>
  <si>
    <t>Share application money pending allotment</t>
  </si>
  <si>
    <t>Non-current liabilities</t>
  </si>
  <si>
    <t>Long-term borrowings</t>
  </si>
  <si>
    <t>Deferred tax liabilities (Net)</t>
  </si>
  <si>
    <t>Other Long term liabilities</t>
  </si>
  <si>
    <t>(d)</t>
  </si>
  <si>
    <t>Long-term provisions</t>
  </si>
  <si>
    <t>Current liabilities</t>
  </si>
  <si>
    <t>Short-term borrowings</t>
  </si>
  <si>
    <t>Trade payables</t>
  </si>
  <si>
    <t>Other current liabilities</t>
  </si>
  <si>
    <t>Short-term provisions</t>
  </si>
  <si>
    <t>II.</t>
  </si>
  <si>
    <t>ASSETS</t>
  </si>
  <si>
    <t>Non-current assets</t>
  </si>
  <si>
    <t>Fixed assets</t>
  </si>
  <si>
    <t>(i)</t>
  </si>
  <si>
    <t>Tangible assets</t>
  </si>
  <si>
    <t>(ii)</t>
  </si>
  <si>
    <t>Intangible assets</t>
  </si>
  <si>
    <t>(iii)</t>
  </si>
  <si>
    <t>Capital work-in-progress</t>
  </si>
  <si>
    <t>(iv)</t>
  </si>
  <si>
    <t>Intangible assets under development</t>
  </si>
  <si>
    <t>Non-current investments</t>
  </si>
  <si>
    <t>Deferred tax assets (net)</t>
  </si>
  <si>
    <t>Long-term loans and advances</t>
  </si>
  <si>
    <t>(e)</t>
  </si>
  <si>
    <t>Other non-current assets</t>
  </si>
  <si>
    <t>Current assets</t>
  </si>
  <si>
    <t>Current investments</t>
  </si>
  <si>
    <t>Inventories</t>
  </si>
  <si>
    <t>Trade receivables</t>
  </si>
  <si>
    <t>Cash and cash equivalents</t>
  </si>
  <si>
    <t>Short-term loans and advances</t>
  </si>
  <si>
    <t>(f)</t>
  </si>
  <si>
    <t>Other current assets</t>
  </si>
  <si>
    <t>I.</t>
  </si>
  <si>
    <t>III.</t>
  </si>
  <si>
    <t>IV.</t>
  </si>
  <si>
    <t>(g)</t>
  </si>
  <si>
    <t>V.</t>
  </si>
  <si>
    <t>VI.</t>
  </si>
  <si>
    <t>VII.</t>
  </si>
  <si>
    <t>VIII.</t>
  </si>
  <si>
    <t>IX.</t>
  </si>
  <si>
    <t>Total (1)</t>
  </si>
  <si>
    <t>Total (2)</t>
  </si>
  <si>
    <t>Total (3)</t>
  </si>
  <si>
    <t>Total (4)</t>
  </si>
  <si>
    <t>TOTAL (1+ 2+3+ 4)</t>
  </si>
  <si>
    <t xml:space="preserve">DETAILS OF OTHER LIABLITIES For the Year Ended </t>
  </si>
  <si>
    <t>31.03.2011</t>
  </si>
  <si>
    <t>31.03.2012</t>
  </si>
  <si>
    <t>1.</t>
  </si>
  <si>
    <t>2.</t>
  </si>
  <si>
    <t>SCHEDULE 8 - ACCOUNTING POLICIES AND NOTES ON ACCOUNTS:</t>
  </si>
  <si>
    <t>A.</t>
  </si>
  <si>
    <t>SIGNIFICANT ACCOUNTING POLICIES:</t>
  </si>
  <si>
    <t>Basis of preparation:</t>
  </si>
  <si>
    <t>The financial statements have been prepared  under the historical cost convention on accrual basis and to comply with the mandatory Accounting Standards issued by the Institute of Chartered Accountants of India and the relevant provisions of the Companies Act, 1956. The accounting policies have been consistently applied, unless otherwise stated.</t>
  </si>
  <si>
    <t>In the preparation of the Company’s financial statements in conformity with the accounting principles generally accepted in India, management is required to make estimates and assumptions that affect the reported amounts of assets and liabilities and the disclosure of contingent liabilities at the date of the financial statements and reported amounts of revenues and expenses  during the reporting period. Actual results could differ from those estimates. Any revision to accounting estimates is recognized in the period the same is determined.</t>
  </si>
  <si>
    <t>Fixed Assets:</t>
  </si>
  <si>
    <t>Fixed assets are stated at cost less accumulated depreciation and impairment losses. Cost comprises the purchase price and any attributable cost of bringing the asset to its working condition for its intended use.</t>
  </si>
  <si>
    <t>Depreciation:</t>
  </si>
  <si>
    <t>Depreciation on fixed assets is charged on the "Written Down Value" method, as per rates specified in Schedule XIV to the Companies Act, 1956.</t>
  </si>
  <si>
    <t xml:space="preserve">In respect of additions to/deductions from fixed assets during the year, depreciation is charged on pro-rata basis. </t>
  </si>
  <si>
    <t>LONG TERM PROVISIONS</t>
  </si>
  <si>
    <t>DEFERRED REVENUE INCOME</t>
  </si>
  <si>
    <t>TOTAL (4)</t>
  </si>
  <si>
    <t>TOTAL (1+ 2+3+4)</t>
  </si>
  <si>
    <t>GARDEN OF</t>
  </si>
  <si>
    <t xml:space="preserve"> COUNTRY</t>
  </si>
  <si>
    <t xml:space="preserve">I M F L </t>
  </si>
  <si>
    <t>FIVE SENSES</t>
  </si>
  <si>
    <t xml:space="preserve"> LIQUOR</t>
  </si>
  <si>
    <t>31.03.2013</t>
  </si>
  <si>
    <t>31.03.12</t>
  </si>
  <si>
    <t>31.03.13</t>
  </si>
  <si>
    <t>STATEMENT OF PROFIT AND LOSS FOR THE YEAR ENDED 31st MARCH 2013</t>
  </si>
  <si>
    <t>AS AT 31.03.2013</t>
  </si>
  <si>
    <t>BALANCE SHEET AS AT 31st MARCH 2013</t>
  </si>
  <si>
    <t>YEAR ENDED 31.03.2013</t>
  </si>
  <si>
    <t xml:space="preserve">YEAR ENDED </t>
  </si>
  <si>
    <t>SHAREHOLDER'S FUND :</t>
  </si>
  <si>
    <t>SHARE CAPITAL</t>
  </si>
  <si>
    <t>RESERVES AND SURPLUS</t>
  </si>
  <si>
    <t>NON-CURRENT LIABITIES :</t>
  </si>
  <si>
    <t>DEFERRED TAX LIABILITIES ( NET)</t>
  </si>
  <si>
    <t>OTHER LONG TERM LIABILITIES</t>
  </si>
  <si>
    <t>CURRENT LIABILITIES :</t>
  </si>
  <si>
    <t>OTHER CURRENT LIABILITIES</t>
  </si>
  <si>
    <t>SHORT-TERM PROVISIONS</t>
  </si>
  <si>
    <t>INTERUNIT TRANSFER OF FUNDS</t>
  </si>
  <si>
    <t>SHORT-TERM BORROWINGS</t>
  </si>
  <si>
    <t>NON-CURRENT ASSETS :</t>
  </si>
  <si>
    <t>FIXED ASSETS</t>
  </si>
  <si>
    <t>TANGIBLE ASSETS</t>
  </si>
  <si>
    <t>INTANGIBLE ASSETS UNDER DEVELOPMENT</t>
  </si>
  <si>
    <t>NON-CURRENT INVESTMENTS</t>
  </si>
  <si>
    <t>DEFERRED TAX ASSETS ( NET)</t>
  </si>
  <si>
    <t>LONG TERM LOAN &amp; ADVANCES</t>
  </si>
  <si>
    <t>OTHER NON CURRENT ASSETS</t>
  </si>
  <si>
    <t>CURRENT ASSETS :</t>
  </si>
  <si>
    <t>INVENTORIES</t>
  </si>
  <si>
    <t>TRADE RECEIVABLES</t>
  </si>
  <si>
    <t>CASH AND CASH EQUIVALENTS</t>
  </si>
  <si>
    <t>SHORT TERM LOAN &amp; ADVANCES</t>
  </si>
  <si>
    <t>OTHER CURRENT ASSETS</t>
  </si>
  <si>
    <t>REVENUE FROM OPERATIONS</t>
  </si>
  <si>
    <t>OTHER INCOME</t>
  </si>
  <si>
    <t>TOTAL REVENUE (I + II)</t>
  </si>
  <si>
    <t>EXPENSES :</t>
  </si>
  <si>
    <t>COST OF MATERIAL CONSUMED</t>
  </si>
  <si>
    <t>PURCHASES OF STOCK-IN-TRADE</t>
  </si>
  <si>
    <t>EMPLOYEE BENEFIT EXPENSES</t>
  </si>
  <si>
    <t>FINANCE COSTS</t>
  </si>
  <si>
    <t>DEPRECIATION AND AMORTIZATION EXPENSES</t>
  </si>
  <si>
    <t>OTHER EXPENSES</t>
  </si>
  <si>
    <t>TOTAL EXPENSES</t>
  </si>
  <si>
    <t>EXCEPTIONAL ITEMS</t>
  </si>
  <si>
    <t>EXTRAORDINARY ITEMS</t>
  </si>
  <si>
    <t>TAX EXPENSES :</t>
  </si>
  <si>
    <t>CURRENT TAX</t>
  </si>
  <si>
    <t>DEFERRED TAX</t>
  </si>
  <si>
    <t>SHORT/EXCESS OF EARLIER YEARS</t>
  </si>
  <si>
    <t>TOTAL TAX EXPENSES</t>
  </si>
  <si>
    <t>CHANGE IN INVENTORIES OF FINISHED GOODS, WORK IN PROGRESS AND STOCK IN TRADE</t>
  </si>
  <si>
    <t>TAX   (III-IV)</t>
  </si>
  <si>
    <t xml:space="preserve">PROFIT BEFORE EXCEPTIONAL AND EXTRAORDINARY ITEMS AND </t>
  </si>
  <si>
    <t>PROFIT BEFORE EXTRAORDINARY ITEMS AND TAX (V - VI)</t>
  </si>
  <si>
    <t>PROFIT BEFORE TAX (VII- VIII)</t>
  </si>
  <si>
    <t>PROFIT (LOSS) FOR THE PERIOD FROM CONTINUING OPERATIONS (IX-X)</t>
  </si>
  <si>
    <t xml:space="preserve">PROFIT/(LOSS) FROM DISCONTINUING OPERATION  </t>
  </si>
  <si>
    <t>TAX EXPENSES OF DISCONTINUING OPERATIONS</t>
  </si>
  <si>
    <t>PROFIT/(LOSS) FROM DISCONTINUING OPERATIONS (AFTER TAX) (XII-XIII)</t>
  </si>
  <si>
    <t>PROFIT (LOSS) FOR THE PERIOD (XI + XIV)</t>
  </si>
  <si>
    <t>EARNINGS PER EQUITY SHARES:</t>
  </si>
  <si>
    <t>BASIC</t>
  </si>
  <si>
    <t>DILUTED</t>
  </si>
  <si>
    <t>ENGINEERING</t>
  </si>
  <si>
    <t>NOTE NO</t>
  </si>
  <si>
    <t>TOTAL (1)</t>
  </si>
  <si>
    <t>TOTAL (2)</t>
  </si>
  <si>
    <t>TOTAL (3)</t>
  </si>
  <si>
    <t>TOTAL (5)</t>
  </si>
  <si>
    <t>TOTAL (6)</t>
  </si>
  <si>
    <t>TOTAL (5+6)</t>
  </si>
  <si>
    <t>Y</t>
  </si>
  <si>
    <t xml:space="preserve">SCHEDULES A TO X FORM AN INTEGRAL PART OF THE BALANCE SHEET AND STATEMENT OF  PROFIT &amp; LOSS ACCOUNT </t>
  </si>
  <si>
    <t>31.03.2010</t>
  </si>
  <si>
    <t>31.03.2009</t>
  </si>
  <si>
    <t>31.03.11</t>
  </si>
  <si>
    <t>31.03.10</t>
  </si>
  <si>
    <t>31.03.09</t>
  </si>
  <si>
    <t>DILLI HAAT</t>
  </si>
  <si>
    <t>PITAMPURA</t>
  </si>
  <si>
    <t xml:space="preserve">DILLI HAAT </t>
  </si>
  <si>
    <t xml:space="preserve">TOURISM </t>
  </si>
  <si>
    <t>TRAVEL</t>
  </si>
  <si>
    <t>CATERING</t>
  </si>
  <si>
    <t>CORPORATE</t>
  </si>
  <si>
    <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</si>
</sst>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quot;0.00"/>
    <numFmt numFmtId="167" formatCode="0_);\(0\)"/>
    <numFmt numFmtId="168" formatCode="_(* #,##0.0_);_(* \(#,##0.0\);_(* &quot;-&quot;??_);_(@_)"/>
    <numFmt numFmtId="169" formatCode="0.0"/>
    <numFmt numFmtId="170" formatCode="_(* #,##0.0000_);_(* \(#,##0.0000\);_(* &quot;-&quot;??_);_(@_)"/>
    <numFmt numFmtId="171" formatCode="_(* #,##0.00000_);_(* \(#,##0.00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_);\(0.00\)"/>
    <numFmt numFmtId="177" formatCode="0.0_);\(0.0\)"/>
    <numFmt numFmtId="178" formatCode="0.00_)"/>
    <numFmt numFmtId="179" formatCode="0;[Red]0"/>
    <numFmt numFmtId="180" formatCode="&quot;$&quot;#,##0"/>
  </numFmts>
  <fonts count="48">
    <font>
      <sz val="11"/>
      <color indexed="8"/>
      <name val="Calibri"/>
      <family val="2"/>
    </font>
    <font>
      <sz val="10"/>
      <name val="Arial"/>
      <family val="2"/>
    </font>
    <font>
      <b/>
      <sz val="10"/>
      <name val="Arial"/>
      <family val="2"/>
    </font>
    <font>
      <b/>
      <sz val="11"/>
      <name val="Arial"/>
      <family val="2"/>
    </font>
    <font>
      <sz val="11"/>
      <name val="Arial"/>
      <family val="2"/>
    </font>
    <font>
      <sz val="10"/>
      <name val="Calibri"/>
      <family val="2"/>
    </font>
    <font>
      <b/>
      <sz val="12"/>
      <name val="Calibri"/>
      <family val="2"/>
    </font>
    <font>
      <sz val="12"/>
      <name val="Calibri"/>
      <family val="2"/>
    </font>
    <font>
      <b/>
      <sz val="10"/>
      <name val="Calibri"/>
      <family val="2"/>
    </font>
    <font>
      <b/>
      <u val="single"/>
      <sz val="10"/>
      <name val="Arial"/>
      <family val="2"/>
    </font>
    <font>
      <u val="single"/>
      <sz val="10"/>
      <name val="Arial"/>
      <family val="2"/>
    </font>
    <font>
      <b/>
      <sz val="9"/>
      <name val="Arial"/>
      <family val="2"/>
    </font>
    <font>
      <b/>
      <sz val="11"/>
      <color indexed="8"/>
      <name val="Calibri"/>
      <family val="2"/>
    </font>
    <font>
      <sz val="10"/>
      <color indexed="8"/>
      <name val="Arial"/>
      <family val="2"/>
    </font>
    <font>
      <b/>
      <sz val="10"/>
      <color indexed="8"/>
      <name val="Arial"/>
      <family val="2"/>
    </font>
    <font>
      <b/>
      <sz val="10"/>
      <color indexed="8"/>
      <name val="Rupee  "/>
      <family val="0"/>
    </font>
    <font>
      <sz val="10"/>
      <color indexed="8"/>
      <name val="Calibri"/>
      <family val="2"/>
    </font>
    <font>
      <sz val="12"/>
      <color indexed="8"/>
      <name val="Calibri"/>
      <family val="2"/>
    </font>
    <font>
      <b/>
      <sz val="12"/>
      <color indexed="8"/>
      <name val="Calibri"/>
      <family val="2"/>
    </font>
    <font>
      <b/>
      <sz val="11"/>
      <name val="Calibri"/>
      <family val="2"/>
    </font>
    <font>
      <b/>
      <sz val="14"/>
      <name val="Calibri"/>
      <family val="2"/>
    </font>
    <font>
      <b/>
      <sz val="10"/>
      <color indexed="8"/>
      <name val="Calibri"/>
      <family val="2"/>
    </font>
    <font>
      <sz val="8"/>
      <name val="Calibri"/>
      <family val="2"/>
    </font>
    <font>
      <u val="single"/>
      <sz val="7.7"/>
      <color indexed="12"/>
      <name val="Calibri"/>
      <family val="2"/>
    </font>
    <font>
      <u val="single"/>
      <sz val="7.7"/>
      <color indexed="36"/>
      <name val="Calibri"/>
      <family val="2"/>
    </font>
    <font>
      <b/>
      <u val="single"/>
      <sz val="14"/>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Calibri"/>
      <family val="2"/>
    </font>
    <font>
      <b/>
      <sz val="10"/>
      <color indexed="10"/>
      <name val="Arial"/>
      <family val="2"/>
    </font>
    <font>
      <b/>
      <sz val="10"/>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double"/>
    </border>
    <border>
      <left style="medium"/>
      <right style="medium"/>
      <top style="medium"/>
      <bottom/>
    </border>
    <border>
      <left style="medium"/>
      <right/>
      <top/>
      <bottom/>
    </border>
    <border>
      <left style="medium"/>
      <right style="medium"/>
      <top/>
      <bottom/>
    </border>
    <border>
      <left style="medium"/>
      <right style="medium"/>
      <top/>
      <bottom style="thin"/>
    </border>
    <border>
      <left style="medium"/>
      <right/>
      <top/>
      <bottom style="medium"/>
    </border>
    <border>
      <left/>
      <right/>
      <top/>
      <bottom style="medium"/>
    </border>
    <border>
      <left style="medium"/>
      <right style="medium"/>
      <top/>
      <bottom style="medium"/>
    </border>
    <border>
      <left/>
      <right style="medium"/>
      <top style="medium"/>
      <bottom style="medium"/>
    </border>
    <border>
      <left/>
      <right/>
      <top/>
      <bottom style="thin"/>
    </border>
    <border>
      <left/>
      <right/>
      <top style="thin"/>
      <bottom style="double"/>
    </border>
    <border>
      <left/>
      <right/>
      <top style="thin"/>
      <bottom style="thin"/>
    </border>
    <border>
      <left style="medium"/>
      <right style="medium"/>
      <top/>
      <bottom style="double"/>
    </border>
    <border>
      <left/>
      <right/>
      <top style="medium"/>
      <bottom/>
    </border>
    <border>
      <left>
        <color indexed="63"/>
      </left>
      <right>
        <color indexed="63"/>
      </right>
      <top style="thin"/>
      <bottom>
        <color indexed="63"/>
      </bottom>
    </border>
    <border>
      <left>
        <color indexed="63"/>
      </left>
      <right/>
      <top style="thin"/>
      <bottom style="thin"/>
    </border>
    <border>
      <left/>
      <right/>
      <top>
        <color indexed="63"/>
      </top>
      <bottom style="thin"/>
    </border>
    <border>
      <left/>
      <right>
        <color indexed="63"/>
      </right>
      <top style="thin"/>
      <bottom style="double"/>
    </border>
    <border>
      <left>
        <color indexed="63"/>
      </left>
      <right/>
      <top style="thin"/>
      <bottom style="double"/>
    </border>
    <border>
      <left>
        <color indexed="63"/>
      </left>
      <right>
        <color indexed="63"/>
      </right>
      <top>
        <color indexed="63"/>
      </top>
      <bottom style="thin"/>
    </border>
    <border>
      <left/>
      <right>
        <color indexed="63"/>
      </right>
      <top style="thin"/>
      <bottom style="thin"/>
    </border>
    <border>
      <left>
        <color indexed="63"/>
      </left>
      <right>
        <color indexed="63"/>
      </right>
      <top style="thin"/>
      <bottom style="thin"/>
    </border>
    <border>
      <left>
        <color indexed="63"/>
      </left>
      <right>
        <color indexed="63"/>
      </right>
      <top style="thin"/>
      <bottom style="double"/>
    </border>
    <border>
      <left/>
      <right>
        <color indexed="63"/>
      </right>
      <top style="double"/>
      <bottom style="thin"/>
    </border>
    <border>
      <left>
        <color indexed="63"/>
      </left>
      <right>
        <color indexed="63"/>
      </right>
      <top style="double"/>
      <bottom style="thin"/>
    </border>
    <border>
      <left>
        <color indexed="63"/>
      </left>
      <right/>
      <top/>
      <bottom style="thin"/>
    </border>
    <border>
      <left/>
      <right>
        <color indexed="63"/>
      </right>
      <top/>
      <bottom style="thin"/>
    </border>
    <border>
      <left/>
      <right>
        <color indexed="63"/>
      </right>
      <top/>
      <bottom style="double"/>
    </border>
    <border>
      <left>
        <color indexed="63"/>
      </left>
      <right/>
      <top/>
      <bottom style="double"/>
    </border>
    <border>
      <left style="thin"/>
      <right>
        <color indexed="63"/>
      </right>
      <top style="thin"/>
      <bottom style="thin"/>
    </border>
    <border>
      <left>
        <color indexed="63"/>
      </left>
      <right style="thin"/>
      <top style="thin"/>
      <bottom style="thin"/>
    </border>
    <border>
      <left style="medium"/>
      <right/>
      <top style="medium"/>
      <bottom/>
    </border>
    <border>
      <left>
        <color indexed="63"/>
      </left>
      <right>
        <color indexed="63"/>
      </right>
      <top/>
      <bottom style="thin"/>
    </border>
    <border>
      <left style="medium"/>
      <right/>
      <top style="medium"/>
      <bottom style="medium"/>
    </border>
    <border>
      <left/>
      <right/>
      <top style="medium"/>
      <bottom style="medium"/>
    </border>
    <border>
      <left/>
      <right style="medium"/>
      <top style="medium"/>
      <bottom/>
    </border>
    <border>
      <left/>
      <right style="medium"/>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3"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2" fillId="0" borderId="9" applyNumberFormat="0" applyFill="0" applyAlignment="0" applyProtection="0"/>
    <xf numFmtId="0" fontId="44" fillId="0" borderId="0" applyNumberFormat="0" applyFill="0" applyBorder="0" applyAlignment="0" applyProtection="0"/>
  </cellStyleXfs>
  <cellXfs count="589">
    <xf numFmtId="0" fontId="0" fillId="0" borderId="0" xfId="0" applyAlignment="1">
      <alignment/>
    </xf>
    <xf numFmtId="0" fontId="13" fillId="0" borderId="0" xfId="0" applyFont="1" applyAlignment="1">
      <alignment/>
    </xf>
    <xf numFmtId="0" fontId="13" fillId="0" borderId="0" xfId="0" applyFont="1" applyAlignment="1">
      <alignment horizontal="center"/>
    </xf>
    <xf numFmtId="0" fontId="0" fillId="0" borderId="10" xfId="0" applyBorder="1" applyAlignment="1">
      <alignment/>
    </xf>
    <xf numFmtId="164" fontId="1" fillId="0" borderId="0" xfId="0" applyNumberFormat="1" applyFont="1" applyAlignment="1">
      <alignment/>
    </xf>
    <xf numFmtId="43" fontId="1" fillId="0" borderId="0" xfId="0" applyNumberFormat="1" applyFont="1" applyAlignment="1">
      <alignment/>
    </xf>
    <xf numFmtId="0" fontId="13" fillId="0" borderId="0" xfId="0" applyNumberFormat="1" applyFont="1" applyAlignment="1">
      <alignment/>
    </xf>
    <xf numFmtId="0" fontId="12" fillId="0" borderId="0" xfId="0" applyFont="1" applyBorder="1" applyAlignment="1">
      <alignment/>
    </xf>
    <xf numFmtId="0" fontId="16" fillId="0" borderId="11" xfId="0" applyFont="1" applyBorder="1" applyAlignment="1">
      <alignment horizontal="center" vertical="top" wrapText="1"/>
    </xf>
    <xf numFmtId="43" fontId="5" fillId="0" borderId="11" xfId="0" applyNumberFormat="1" applyFont="1" applyBorder="1" applyAlignment="1">
      <alignment vertical="top" wrapText="1"/>
    </xf>
    <xf numFmtId="164" fontId="5" fillId="0" borderId="11" xfId="0" applyNumberFormat="1" applyFont="1" applyBorder="1" applyAlignment="1">
      <alignment vertical="top" wrapText="1"/>
    </xf>
    <xf numFmtId="0" fontId="16" fillId="0" borderId="12" xfId="0" applyFont="1" applyBorder="1" applyAlignment="1">
      <alignment/>
    </xf>
    <xf numFmtId="0" fontId="16" fillId="0" borderId="0" xfId="0" applyFont="1" applyBorder="1" applyAlignment="1">
      <alignment/>
    </xf>
    <xf numFmtId="0" fontId="16" fillId="0" borderId="13" xfId="0" applyFont="1" applyBorder="1" applyAlignment="1">
      <alignment horizontal="center" vertical="top" wrapText="1"/>
    </xf>
    <xf numFmtId="43" fontId="5" fillId="0" borderId="13" xfId="42" applyNumberFormat="1" applyFont="1" applyBorder="1" applyAlignment="1">
      <alignment vertical="top" wrapText="1"/>
    </xf>
    <xf numFmtId="164" fontId="5" fillId="0" borderId="13" xfId="42" applyNumberFormat="1" applyFont="1" applyBorder="1" applyAlignment="1">
      <alignment vertical="top" wrapText="1"/>
    </xf>
    <xf numFmtId="164" fontId="5" fillId="0" borderId="13" xfId="42" applyNumberFormat="1" applyFont="1" applyBorder="1" applyAlignment="1">
      <alignment horizontal="left" vertical="top" wrapText="1"/>
    </xf>
    <xf numFmtId="164" fontId="8" fillId="0" borderId="14" xfId="42" applyNumberFormat="1" applyFont="1" applyBorder="1" applyAlignment="1">
      <alignment horizontal="left" vertical="top" wrapText="1"/>
    </xf>
    <xf numFmtId="0" fontId="16" fillId="0" borderId="15" xfId="0" applyFont="1" applyBorder="1" applyAlignment="1">
      <alignment/>
    </xf>
    <xf numFmtId="0" fontId="16" fillId="0" borderId="16" xfId="0" applyFont="1" applyBorder="1" applyAlignment="1">
      <alignment/>
    </xf>
    <xf numFmtId="0" fontId="16" fillId="0" borderId="17" xfId="0" applyFont="1" applyBorder="1" applyAlignment="1">
      <alignment horizontal="center" vertical="top" wrapText="1"/>
    </xf>
    <xf numFmtId="164" fontId="5" fillId="0" borderId="17" xfId="42" applyNumberFormat="1" applyFont="1" applyBorder="1" applyAlignment="1">
      <alignment horizontal="center" vertical="top" wrapText="1"/>
    </xf>
    <xf numFmtId="0" fontId="12" fillId="0" borderId="12" xfId="0" applyFont="1" applyBorder="1" applyAlignment="1">
      <alignment horizontal="center"/>
    </xf>
    <xf numFmtId="0" fontId="12" fillId="0" borderId="0" xfId="0" applyNumberFormat="1" applyFont="1" applyBorder="1" applyAlignment="1">
      <alignment/>
    </xf>
    <xf numFmtId="0" fontId="16" fillId="0" borderId="0" xfId="0" applyNumberFormat="1" applyFont="1" applyBorder="1" applyAlignment="1">
      <alignment/>
    </xf>
    <xf numFmtId="0" fontId="16" fillId="0" borderId="16" xfId="0" applyNumberFormat="1" applyFont="1" applyBorder="1" applyAlignment="1">
      <alignment/>
    </xf>
    <xf numFmtId="0" fontId="17"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xf>
    <xf numFmtId="0" fontId="17" fillId="0" borderId="0" xfId="0" applyFont="1" applyBorder="1" applyAlignment="1">
      <alignment/>
    </xf>
    <xf numFmtId="0" fontId="17" fillId="0" borderId="0" xfId="0" applyFont="1" applyBorder="1" applyAlignment="1">
      <alignment horizontal="center"/>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Alignment="1">
      <alignment horizontal="left"/>
    </xf>
    <xf numFmtId="43" fontId="6" fillId="0" borderId="0" xfId="44" applyFont="1" applyAlignment="1">
      <alignment horizontal="left"/>
    </xf>
    <xf numFmtId="0" fontId="14" fillId="0" borderId="0" xfId="0" applyFont="1" applyAlignment="1">
      <alignment/>
    </xf>
    <xf numFmtId="43" fontId="18" fillId="0" borderId="0" xfId="42" applyFont="1" applyAlignment="1">
      <alignment/>
    </xf>
    <xf numFmtId="0" fontId="8" fillId="0" borderId="0" xfId="0" applyFont="1" applyAlignment="1">
      <alignment/>
    </xf>
    <xf numFmtId="0" fontId="14" fillId="0" borderId="0" xfId="0" applyFont="1" applyAlignment="1">
      <alignment horizontal="center"/>
    </xf>
    <xf numFmtId="0" fontId="8" fillId="0" borderId="0" xfId="0" applyFont="1" applyAlignment="1">
      <alignment horizontal="left"/>
    </xf>
    <xf numFmtId="0" fontId="18" fillId="0" borderId="0" xfId="0" applyFont="1" applyAlignment="1">
      <alignment/>
    </xf>
    <xf numFmtId="43" fontId="2" fillId="0" borderId="0" xfId="0" applyNumberFormat="1" applyFont="1" applyAlignment="1">
      <alignment/>
    </xf>
    <xf numFmtId="164" fontId="2" fillId="0" borderId="0" xfId="0" applyNumberFormat="1" applyFont="1" applyAlignment="1">
      <alignment/>
    </xf>
    <xf numFmtId="0" fontId="18" fillId="0" borderId="0" xfId="0" applyFont="1" applyAlignment="1">
      <alignment horizontal="left"/>
    </xf>
    <xf numFmtId="0" fontId="14" fillId="0" borderId="0" xfId="0" applyNumberFormat="1" applyFont="1" applyAlignment="1">
      <alignment/>
    </xf>
    <xf numFmtId="43" fontId="8" fillId="0" borderId="0" xfId="44" applyFont="1" applyAlignment="1">
      <alignment/>
    </xf>
    <xf numFmtId="167" fontId="19" fillId="0" borderId="0" xfId="0" applyNumberFormat="1" applyFont="1" applyBorder="1" applyAlignment="1">
      <alignment horizontal="center"/>
    </xf>
    <xf numFmtId="0" fontId="13" fillId="0" borderId="0" xfId="0" applyNumberFormat="1" applyFont="1" applyBorder="1" applyAlignment="1">
      <alignment/>
    </xf>
    <xf numFmtId="167" fontId="6" fillId="0" borderId="0" xfId="0" applyNumberFormat="1" applyFont="1" applyBorder="1" applyAlignment="1">
      <alignment horizontal="center"/>
    </xf>
    <xf numFmtId="0" fontId="20" fillId="0" borderId="12" xfId="0" applyFont="1" applyBorder="1" applyAlignment="1">
      <alignment horizontal="center"/>
    </xf>
    <xf numFmtId="0" fontId="20" fillId="0" borderId="0" xfId="0" applyFont="1" applyBorder="1" applyAlignment="1">
      <alignment/>
    </xf>
    <xf numFmtId="167" fontId="17" fillId="0" borderId="0" xfId="0" applyNumberFormat="1" applyFont="1" applyBorder="1" applyAlignment="1">
      <alignment horizontal="center"/>
    </xf>
    <xf numFmtId="0" fontId="21" fillId="0" borderId="18" xfId="0" applyFont="1" applyBorder="1" applyAlignment="1">
      <alignment horizontal="center" vertical="top" wrapText="1"/>
    </xf>
    <xf numFmtId="164" fontId="8" fillId="0" borderId="18" xfId="0" applyNumberFormat="1" applyFont="1" applyBorder="1" applyAlignment="1">
      <alignment horizontal="center" vertical="top" wrapText="1"/>
    </xf>
    <xf numFmtId="0" fontId="8" fillId="0" borderId="18" xfId="0" applyFont="1" applyBorder="1" applyAlignment="1">
      <alignment horizontal="center" vertical="top" wrapText="1"/>
    </xf>
    <xf numFmtId="0" fontId="2" fillId="0" borderId="16" xfId="61" applyFont="1" applyBorder="1">
      <alignment/>
      <protection/>
    </xf>
    <xf numFmtId="49" fontId="2" fillId="0" borderId="16" xfId="61" applyNumberFormat="1" applyFont="1" applyBorder="1" applyAlignment="1">
      <alignment horizontal="center"/>
      <protection/>
    </xf>
    <xf numFmtId="0" fontId="1" fillId="0" borderId="16" xfId="61" applyBorder="1">
      <alignment/>
      <protection/>
    </xf>
    <xf numFmtId="0" fontId="2" fillId="0" borderId="0" xfId="61" applyFont="1" applyBorder="1" applyAlignment="1">
      <alignment horizontal="center"/>
      <protection/>
    </xf>
    <xf numFmtId="0" fontId="1" fillId="0" borderId="0" xfId="61" applyBorder="1">
      <alignment/>
      <protection/>
    </xf>
    <xf numFmtId="0" fontId="1" fillId="0" borderId="0" xfId="61">
      <alignment/>
      <protection/>
    </xf>
    <xf numFmtId="49" fontId="9" fillId="0" borderId="0" xfId="61" applyNumberFormat="1" applyFont="1" applyBorder="1" applyAlignment="1">
      <alignment horizontal="left"/>
      <protection/>
    </xf>
    <xf numFmtId="49" fontId="2" fillId="0" borderId="0" xfId="61" applyNumberFormat="1" applyFont="1" applyBorder="1" applyAlignment="1">
      <alignment horizontal="center"/>
      <protection/>
    </xf>
    <xf numFmtId="0" fontId="2" fillId="0" borderId="0" xfId="61" applyFont="1" applyBorder="1" applyAlignment="1">
      <alignment horizontal="left"/>
      <protection/>
    </xf>
    <xf numFmtId="49" fontId="2" fillId="0" borderId="0" xfId="61" applyNumberFormat="1" applyFont="1" applyBorder="1" applyAlignment="1">
      <alignment horizontal="left"/>
      <protection/>
    </xf>
    <xf numFmtId="0" fontId="1" fillId="0" borderId="0" xfId="61" applyFont="1">
      <alignment/>
      <protection/>
    </xf>
    <xf numFmtId="49" fontId="9" fillId="0" borderId="0" xfId="61" applyNumberFormat="1" applyFont="1" applyAlignment="1">
      <alignment horizontal="left"/>
      <protection/>
    </xf>
    <xf numFmtId="49" fontId="1" fillId="0" borderId="0" xfId="61" applyNumberFormat="1" applyAlignment="1">
      <alignment horizontal="center"/>
      <protection/>
    </xf>
    <xf numFmtId="0" fontId="9" fillId="0" borderId="0" xfId="61" applyFont="1">
      <alignment/>
      <protection/>
    </xf>
    <xf numFmtId="0" fontId="1" fillId="0" borderId="0" xfId="61" applyFill="1" applyAlignment="1">
      <alignment horizontal="center"/>
      <protection/>
    </xf>
    <xf numFmtId="0" fontId="1" fillId="0" borderId="0" xfId="61" applyFill="1">
      <alignment/>
      <protection/>
    </xf>
    <xf numFmtId="0" fontId="1" fillId="0" borderId="0" xfId="61" applyFont="1" applyAlignment="1">
      <alignment horizontal="left" vertical="top" wrapText="1"/>
      <protection/>
    </xf>
    <xf numFmtId="0" fontId="9" fillId="0" borderId="0" xfId="61" applyFont="1" applyFill="1">
      <alignment/>
      <protection/>
    </xf>
    <xf numFmtId="0" fontId="1" fillId="0" borderId="0" xfId="61" applyAlignment="1">
      <alignment horizontal="center"/>
      <protection/>
    </xf>
    <xf numFmtId="0" fontId="1" fillId="0" borderId="0" xfId="61" applyFont="1" applyAlignment="1">
      <alignment horizontal="left"/>
      <protection/>
    </xf>
    <xf numFmtId="0" fontId="1" fillId="0" borderId="0" xfId="61" applyAlignment="1">
      <alignment horizontal="left"/>
      <protection/>
    </xf>
    <xf numFmtId="0" fontId="1" fillId="0" borderId="0" xfId="61" applyFont="1" applyFill="1" applyAlignment="1">
      <alignment horizontal="left"/>
      <protection/>
    </xf>
    <xf numFmtId="0" fontId="1" fillId="0" borderId="0" xfId="61" applyAlignment="1">
      <alignment horizontal="justify" vertical="top" wrapText="1"/>
      <protection/>
    </xf>
    <xf numFmtId="0" fontId="1" fillId="0" borderId="0" xfId="61" applyAlignment="1">
      <alignment horizontal="justify" vertical="top"/>
      <protection/>
    </xf>
    <xf numFmtId="0" fontId="1" fillId="0" borderId="0" xfId="61" applyAlignment="1">
      <alignment wrapText="1"/>
      <protection/>
    </xf>
    <xf numFmtId="49" fontId="1" fillId="0" borderId="0" xfId="61" applyNumberFormat="1" applyAlignment="1">
      <alignment horizontal="right"/>
      <protection/>
    </xf>
    <xf numFmtId="0" fontId="1" fillId="0" borderId="0" xfId="61" applyFont="1" applyAlignment="1">
      <alignment horizontal="right"/>
      <protection/>
    </xf>
    <xf numFmtId="0" fontId="1" fillId="0" borderId="0" xfId="61" applyAlignment="1">
      <alignment horizontal="right"/>
      <protection/>
    </xf>
    <xf numFmtId="0" fontId="1" fillId="0" borderId="0" xfId="61" applyFont="1" applyAlignment="1">
      <alignment horizontal="right" vertical="top"/>
      <protection/>
    </xf>
    <xf numFmtId="0" fontId="2" fillId="0" borderId="0" xfId="61" applyFont="1" applyBorder="1">
      <alignment/>
      <protection/>
    </xf>
    <xf numFmtId="0" fontId="2" fillId="0" borderId="0" xfId="61" applyFont="1" applyBorder="1" applyAlignment="1">
      <alignment horizontal="right"/>
      <protection/>
    </xf>
    <xf numFmtId="0" fontId="1" fillId="0" borderId="0" xfId="61" applyAlignment="1">
      <alignment horizontal="left" vertical="top"/>
      <protection/>
    </xf>
    <xf numFmtId="0" fontId="1" fillId="0" borderId="0" xfId="61" applyFill="1" applyAlignment="1">
      <alignment horizontal="left"/>
      <protection/>
    </xf>
    <xf numFmtId="0" fontId="1" fillId="0" borderId="0" xfId="61" applyAlignment="1">
      <alignment vertical="top"/>
      <protection/>
    </xf>
    <xf numFmtId="0" fontId="1" fillId="0" borderId="0" xfId="61" applyAlignment="1" quotePrefix="1">
      <alignment horizontal="justify" vertical="top" wrapText="1"/>
      <protection/>
    </xf>
    <xf numFmtId="0" fontId="1" fillId="0" borderId="0" xfId="61" applyAlignment="1">
      <alignment vertical="top" wrapText="1"/>
      <protection/>
    </xf>
    <xf numFmtId="0" fontId="1" fillId="0" borderId="0" xfId="61" applyFont="1" applyAlignment="1">
      <alignment/>
      <protection/>
    </xf>
    <xf numFmtId="0" fontId="1" fillId="0" borderId="0" xfId="61" applyFont="1" applyAlignment="1">
      <alignment horizontal="center"/>
      <protection/>
    </xf>
    <xf numFmtId="0" fontId="1" fillId="0" borderId="0" xfId="61" applyFont="1" applyFill="1">
      <alignment/>
      <protection/>
    </xf>
    <xf numFmtId="49" fontId="1" fillId="0" borderId="0" xfId="61" applyNumberFormat="1" applyFont="1" applyAlignment="1">
      <alignment horizontal="center"/>
      <protection/>
    </xf>
    <xf numFmtId="0" fontId="2" fillId="0" borderId="0" xfId="61" applyFont="1">
      <alignment/>
      <protection/>
    </xf>
    <xf numFmtId="9" fontId="1" fillId="0" borderId="0" xfId="65" applyFont="1" applyBorder="1" applyAlignment="1">
      <alignment horizontal="center"/>
    </xf>
    <xf numFmtId="164" fontId="2" fillId="0" borderId="19" xfId="65" applyNumberFormat="1" applyFont="1" applyBorder="1" applyAlignment="1">
      <alignment horizontal="center"/>
    </xf>
    <xf numFmtId="0" fontId="2" fillId="0" borderId="0" xfId="61" applyFont="1" applyAlignment="1">
      <alignment horizontal="center"/>
      <protection/>
    </xf>
    <xf numFmtId="0" fontId="9" fillId="0" borderId="0" xfId="61" applyFont="1" applyAlignment="1">
      <alignment horizontal="center"/>
      <protection/>
    </xf>
    <xf numFmtId="0" fontId="1" fillId="0" borderId="0" xfId="61" applyFont="1" applyBorder="1">
      <alignment/>
      <protection/>
    </xf>
    <xf numFmtId="43" fontId="1" fillId="0" borderId="0" xfId="61" applyNumberFormat="1" applyFont="1" applyBorder="1">
      <alignment/>
      <protection/>
    </xf>
    <xf numFmtId="164" fontId="1" fillId="0" borderId="0" xfId="45" applyNumberFormat="1" applyFont="1" applyAlignment="1">
      <alignment/>
    </xf>
    <xf numFmtId="43" fontId="2" fillId="0" borderId="0" xfId="61" applyNumberFormat="1" applyFont="1" applyBorder="1">
      <alignment/>
      <protection/>
    </xf>
    <xf numFmtId="164" fontId="2" fillId="0" borderId="20" xfId="61" applyNumberFormat="1" applyFont="1" applyBorder="1">
      <alignment/>
      <protection/>
    </xf>
    <xf numFmtId="43" fontId="1" fillId="0" borderId="0" xfId="45" applyFont="1" applyAlignment="1">
      <alignment/>
    </xf>
    <xf numFmtId="0" fontId="1" fillId="0" borderId="0" xfId="61" applyFont="1" applyAlignment="1">
      <alignment horizontal="justify" wrapText="1"/>
      <protection/>
    </xf>
    <xf numFmtId="0" fontId="1" fillId="0" borderId="0" xfId="61" applyFont="1" applyAlignment="1">
      <alignment vertical="top"/>
      <protection/>
    </xf>
    <xf numFmtId="0" fontId="1" fillId="0" borderId="19" xfId="61" applyBorder="1" applyAlignment="1" quotePrefix="1">
      <alignment horizontal="center"/>
      <protection/>
    </xf>
    <xf numFmtId="0" fontId="1" fillId="0" borderId="19" xfId="61" applyFont="1" applyBorder="1" applyAlignment="1">
      <alignment horizontal="center"/>
      <protection/>
    </xf>
    <xf numFmtId="0" fontId="1" fillId="0" borderId="19" xfId="61" applyBorder="1" applyAlignment="1">
      <alignment horizontal="left"/>
      <protection/>
    </xf>
    <xf numFmtId="0" fontId="1" fillId="0" borderId="19" xfId="61" applyBorder="1">
      <alignment/>
      <protection/>
    </xf>
    <xf numFmtId="0" fontId="1" fillId="0" borderId="21" xfId="61" applyBorder="1">
      <alignment/>
      <protection/>
    </xf>
    <xf numFmtId="0" fontId="1" fillId="0" borderId="19" xfId="61" applyBorder="1" applyAlignment="1">
      <alignment horizontal="center"/>
      <protection/>
    </xf>
    <xf numFmtId="164" fontId="0" fillId="0" borderId="19" xfId="45" applyNumberFormat="1" applyFont="1" applyBorder="1" applyAlignment="1">
      <alignment horizontal="center"/>
    </xf>
    <xf numFmtId="164" fontId="0" fillId="0" borderId="19" xfId="45" applyNumberFormat="1" applyFont="1" applyBorder="1" applyAlignment="1" quotePrefix="1">
      <alignment horizontal="center" vertical="center"/>
    </xf>
    <xf numFmtId="0" fontId="11" fillId="0" borderId="0" xfId="61" applyFont="1">
      <alignment/>
      <protection/>
    </xf>
    <xf numFmtId="0" fontId="1" fillId="0" borderId="19" xfId="61" applyFont="1" applyBorder="1" applyAlignment="1" quotePrefix="1">
      <alignment horizontal="center"/>
      <protection/>
    </xf>
    <xf numFmtId="164" fontId="8" fillId="0" borderId="22" xfId="42" applyNumberFormat="1" applyFont="1" applyBorder="1" applyAlignment="1">
      <alignment horizontal="left" vertical="top" wrapText="1"/>
    </xf>
    <xf numFmtId="164" fontId="5" fillId="0" borderId="13" xfId="42" applyNumberFormat="1" applyFont="1" applyBorder="1" applyAlignment="1">
      <alignment horizontal="left"/>
    </xf>
    <xf numFmtId="0" fontId="12" fillId="0" borderId="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Border="1" applyAlignment="1">
      <alignment horizontal="center" vertical="top" wrapText="1"/>
    </xf>
    <xf numFmtId="0" fontId="16" fillId="0" borderId="0" xfId="0" applyFont="1" applyBorder="1" applyAlignment="1">
      <alignment horizontal="justify" vertical="top" wrapText="1"/>
    </xf>
    <xf numFmtId="0" fontId="21" fillId="0" borderId="0" xfId="0" applyFont="1" applyBorder="1" applyAlignment="1">
      <alignment vertical="top" wrapText="1"/>
    </xf>
    <xf numFmtId="0" fontId="21" fillId="0" borderId="0" xfId="0" applyFont="1" applyBorder="1" applyAlignment="1">
      <alignment horizontal="justify" vertical="top" wrapText="1"/>
    </xf>
    <xf numFmtId="0" fontId="16" fillId="0" borderId="16" xfId="0" applyFont="1" applyBorder="1" applyAlignment="1">
      <alignment vertical="top" wrapText="1"/>
    </xf>
    <xf numFmtId="0" fontId="0" fillId="0" borderId="13" xfId="0" applyBorder="1" applyAlignment="1">
      <alignment horizontal="center"/>
    </xf>
    <xf numFmtId="0" fontId="12" fillId="0" borderId="0" xfId="0" applyFont="1" applyAlignment="1">
      <alignment/>
    </xf>
    <xf numFmtId="0" fontId="26" fillId="0" borderId="0" xfId="0" applyFont="1" applyFill="1" applyBorder="1" applyAlignment="1">
      <alignment horizontal="center"/>
    </xf>
    <xf numFmtId="164" fontId="0" fillId="0" borderId="0" xfId="0" applyNumberFormat="1" applyFont="1" applyAlignment="1">
      <alignment/>
    </xf>
    <xf numFmtId="164" fontId="0" fillId="0" borderId="0" xfId="0" applyNumberFormat="1" applyFont="1" applyFill="1" applyAlignment="1">
      <alignment/>
    </xf>
    <xf numFmtId="0" fontId="26" fillId="0" borderId="0" xfId="0" applyFont="1" applyFill="1" applyBorder="1" applyAlignment="1">
      <alignment/>
    </xf>
    <xf numFmtId="43" fontId="0" fillId="0" borderId="0" xfId="42" applyFont="1" applyAlignment="1">
      <alignment/>
    </xf>
    <xf numFmtId="164" fontId="5" fillId="0" borderId="13" xfId="42" applyNumberFormat="1" applyFont="1" applyFill="1" applyBorder="1" applyAlignment="1">
      <alignment horizontal="left" vertical="top" wrapText="1"/>
    </xf>
    <xf numFmtId="164" fontId="18" fillId="0" borderId="0" xfId="42" applyNumberFormat="1" applyFont="1" applyAlignment="1">
      <alignment/>
    </xf>
    <xf numFmtId="43" fontId="8" fillId="0" borderId="11" xfId="0" applyNumberFormat="1" applyFont="1" applyBorder="1" applyAlignment="1">
      <alignment horizontal="center" vertical="top" wrapText="1"/>
    </xf>
    <xf numFmtId="164" fontId="8" fillId="0" borderId="11" xfId="0" applyNumberFormat="1" applyFont="1" applyBorder="1" applyAlignment="1">
      <alignment horizontal="center" vertical="top" wrapText="1"/>
    </xf>
    <xf numFmtId="164" fontId="8" fillId="0" borderId="23" xfId="0" applyNumberFormat="1" applyFont="1" applyBorder="1" applyAlignment="1">
      <alignment horizontal="center" vertical="top" wrapText="1"/>
    </xf>
    <xf numFmtId="164" fontId="8" fillId="0" borderId="16" xfId="0" applyNumberFormat="1" applyFont="1" applyBorder="1" applyAlignment="1">
      <alignment horizontal="center" vertical="top" wrapText="1"/>
    </xf>
    <xf numFmtId="164" fontId="5" fillId="0" borderId="13" xfId="46" applyNumberFormat="1" applyFont="1" applyBorder="1" applyAlignment="1">
      <alignment horizontal="left" vertical="top" wrapText="1"/>
    </xf>
    <xf numFmtId="164" fontId="8" fillId="0" borderId="14" xfId="42" applyNumberFormat="1" applyFont="1" applyFill="1" applyBorder="1" applyAlignment="1">
      <alignment horizontal="left" vertical="top" wrapText="1"/>
    </xf>
    <xf numFmtId="0" fontId="0" fillId="0" borderId="0" xfId="0" applyBorder="1" applyAlignment="1">
      <alignment/>
    </xf>
    <xf numFmtId="0" fontId="0" fillId="0" borderId="0" xfId="0" applyAlignment="1">
      <alignment horizontal="center"/>
    </xf>
    <xf numFmtId="164" fontId="0" fillId="0" borderId="0" xfId="42" applyNumberFormat="1" applyFont="1" applyAlignment="1">
      <alignment/>
    </xf>
    <xf numFmtId="43" fontId="0" fillId="0" borderId="0" xfId="42" applyFont="1" applyAlignment="1">
      <alignment/>
    </xf>
    <xf numFmtId="43" fontId="0" fillId="0" borderId="0" xfId="42" applyFont="1" applyFill="1" applyAlignment="1">
      <alignment/>
    </xf>
    <xf numFmtId="43" fontId="0" fillId="0" borderId="0" xfId="42" applyFont="1" applyBorder="1" applyAlignment="1">
      <alignment/>
    </xf>
    <xf numFmtId="43" fontId="0" fillId="0" borderId="20" xfId="42" applyFont="1" applyBorder="1" applyAlignment="1">
      <alignment/>
    </xf>
    <xf numFmtId="43" fontId="0" fillId="0" borderId="20" xfId="42" applyFont="1" applyFill="1" applyBorder="1" applyAlignment="1">
      <alignment/>
    </xf>
    <xf numFmtId="164" fontId="0" fillId="0" borderId="20" xfId="42" applyNumberFormat="1" applyFont="1" applyBorder="1" applyAlignment="1">
      <alignment/>
    </xf>
    <xf numFmtId="164" fontId="12" fillId="0" borderId="0" xfId="42" applyNumberFormat="1" applyFont="1" applyAlignment="1">
      <alignment horizontal="center"/>
    </xf>
    <xf numFmtId="164" fontId="12" fillId="0" borderId="21" xfId="42" applyNumberFormat="1" applyFont="1" applyBorder="1" applyAlignment="1">
      <alignment horizontal="center" vertical="top"/>
    </xf>
    <xf numFmtId="0" fontId="6" fillId="0" borderId="0" xfId="0" applyFont="1" applyFill="1" applyBorder="1" applyAlignment="1">
      <alignment/>
    </xf>
    <xf numFmtId="0" fontId="6" fillId="0" borderId="0" xfId="0" applyFont="1" applyFill="1" applyBorder="1" applyAlignment="1">
      <alignment horizontal="left"/>
    </xf>
    <xf numFmtId="0" fontId="16" fillId="0" borderId="0" xfId="0" applyFont="1" applyAlignment="1">
      <alignment/>
    </xf>
    <xf numFmtId="0" fontId="16" fillId="0" borderId="0" xfId="0" applyNumberFormat="1" applyFont="1" applyAlignment="1">
      <alignment/>
    </xf>
    <xf numFmtId="0" fontId="12" fillId="0" borderId="19" xfId="0" applyFont="1" applyBorder="1" applyAlignment="1">
      <alignment horizontal="center" vertical="top" wrapText="1"/>
    </xf>
    <xf numFmtId="164" fontId="5" fillId="0" borderId="0" xfId="42" applyNumberFormat="1" applyFont="1" applyFill="1" applyBorder="1" applyAlignment="1">
      <alignment horizontal="left" vertical="top" wrapText="1"/>
    </xf>
    <xf numFmtId="0" fontId="12" fillId="0" borderId="24" xfId="0" applyFont="1" applyBorder="1" applyAlignment="1">
      <alignment/>
    </xf>
    <xf numFmtId="0" fontId="16" fillId="0" borderId="24" xfId="0" applyNumberFormat="1" applyFont="1" applyBorder="1" applyAlignment="1">
      <alignment/>
    </xf>
    <xf numFmtId="0" fontId="16" fillId="0" borderId="24" xfId="0" applyFont="1" applyBorder="1" applyAlignment="1">
      <alignment/>
    </xf>
    <xf numFmtId="0" fontId="12" fillId="0" borderId="19" xfId="0" applyFont="1" applyBorder="1" applyAlignment="1">
      <alignment/>
    </xf>
    <xf numFmtId="0" fontId="16" fillId="0" borderId="19" xfId="0" applyNumberFormat="1" applyFont="1" applyBorder="1" applyAlignment="1">
      <alignment/>
    </xf>
    <xf numFmtId="0" fontId="16" fillId="0" borderId="19" xfId="0" applyFont="1" applyBorder="1" applyAlignment="1">
      <alignment/>
    </xf>
    <xf numFmtId="43" fontId="0" fillId="0" borderId="19" xfId="42" applyFont="1" applyBorder="1" applyAlignment="1">
      <alignment/>
    </xf>
    <xf numFmtId="43" fontId="0" fillId="0" borderId="20" xfId="42" applyFont="1" applyBorder="1" applyAlignment="1">
      <alignment/>
    </xf>
    <xf numFmtId="164" fontId="19" fillId="0" borderId="24" xfId="0" applyNumberFormat="1" applyFont="1" applyBorder="1" applyAlignment="1">
      <alignment horizontal="center" vertical="top"/>
    </xf>
    <xf numFmtId="164" fontId="19" fillId="0" borderId="19" xfId="0" applyNumberFormat="1" applyFont="1" applyBorder="1" applyAlignment="1">
      <alignment horizontal="center" vertical="top" wrapText="1"/>
    </xf>
    <xf numFmtId="0" fontId="0" fillId="0" borderId="10" xfId="0" applyBorder="1" applyAlignment="1">
      <alignment horizontal="center"/>
    </xf>
    <xf numFmtId="164" fontId="12" fillId="0" borderId="21" xfId="42" applyNumberFormat="1" applyFont="1" applyBorder="1" applyAlignment="1">
      <alignment vertical="top"/>
    </xf>
    <xf numFmtId="0" fontId="28" fillId="0" borderId="0" xfId="0" applyFont="1" applyAlignment="1">
      <alignment/>
    </xf>
    <xf numFmtId="0" fontId="29" fillId="0" borderId="0" xfId="0" applyFont="1" applyAlignment="1">
      <alignment/>
    </xf>
    <xf numFmtId="164" fontId="8" fillId="0" borderId="21" xfId="42" applyNumberFormat="1" applyFont="1" applyFill="1" applyBorder="1" applyAlignment="1">
      <alignment horizontal="left" vertical="top" wrapText="1"/>
    </xf>
    <xf numFmtId="164" fontId="26" fillId="0" borderId="0" xfId="42" applyNumberFormat="1" applyFont="1" applyFill="1" applyBorder="1" applyAlignment="1">
      <alignment horizontal="center" vertical="top" wrapText="1"/>
    </xf>
    <xf numFmtId="0" fontId="19" fillId="0" borderId="0" xfId="0" applyFont="1" applyFill="1" applyBorder="1" applyAlignment="1">
      <alignment/>
    </xf>
    <xf numFmtId="0" fontId="8" fillId="0" borderId="0" xfId="0" applyNumberFormat="1" applyFont="1" applyFill="1" applyBorder="1" applyAlignment="1">
      <alignment horizontal="center" vertical="top" wrapText="1"/>
    </xf>
    <xf numFmtId="164" fontId="26" fillId="0" borderId="0" xfId="0"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164" fontId="26" fillId="0" borderId="0" xfId="42" applyNumberFormat="1" applyFont="1" applyFill="1" applyBorder="1" applyAlignment="1">
      <alignment horizontal="left" vertical="top" wrapText="1"/>
    </xf>
    <xf numFmtId="164" fontId="19" fillId="0" borderId="0" xfId="42" applyNumberFormat="1" applyFont="1" applyFill="1" applyBorder="1" applyAlignment="1">
      <alignment horizontal="left" vertical="top" wrapText="1"/>
    </xf>
    <xf numFmtId="43" fontId="26" fillId="0" borderId="0" xfId="42" applyNumberFormat="1" applyFont="1" applyFill="1" applyBorder="1" applyAlignment="1">
      <alignment horizontal="left" vertical="top" wrapText="1"/>
    </xf>
    <xf numFmtId="43" fontId="26" fillId="0" borderId="0" xfId="0" applyNumberFormat="1" applyFont="1" applyFill="1" applyBorder="1" applyAlignment="1">
      <alignment vertical="top" wrapText="1"/>
    </xf>
    <xf numFmtId="43" fontId="1" fillId="0" borderId="0" xfId="0" applyNumberFormat="1" applyFont="1" applyFill="1" applyAlignment="1">
      <alignment/>
    </xf>
    <xf numFmtId="164" fontId="1" fillId="0" borderId="0" xfId="0" applyNumberFormat="1" applyFont="1" applyFill="1" applyAlignment="1">
      <alignment/>
    </xf>
    <xf numFmtId="164" fontId="2" fillId="0" borderId="0" xfId="0" applyNumberFormat="1" applyFont="1" applyFill="1" applyAlignment="1">
      <alignment/>
    </xf>
    <xf numFmtId="43" fontId="2" fillId="0" borderId="0" xfId="0" applyNumberFormat="1" applyFont="1" applyFill="1" applyAlignment="1">
      <alignment/>
    </xf>
    <xf numFmtId="0" fontId="5" fillId="0" borderId="0" xfId="0" applyFont="1" applyFill="1" applyBorder="1" applyAlignment="1">
      <alignment/>
    </xf>
    <xf numFmtId="0" fontId="8" fillId="0" borderId="0" xfId="0" applyFont="1" applyFill="1" applyBorder="1" applyAlignment="1">
      <alignment horizontal="center" vertical="top" wrapText="1"/>
    </xf>
    <xf numFmtId="164" fontId="5" fillId="0" borderId="0" xfId="42" applyNumberFormat="1" applyFont="1" applyFill="1" applyBorder="1" applyAlignment="1">
      <alignment/>
    </xf>
    <xf numFmtId="164" fontId="26" fillId="0" borderId="0" xfId="42" applyNumberFormat="1" applyFont="1" applyFill="1" applyBorder="1" applyAlignment="1">
      <alignment/>
    </xf>
    <xf numFmtId="164" fontId="26" fillId="0" borderId="0" xfId="0" applyNumberFormat="1" applyFont="1" applyFill="1" applyBorder="1" applyAlignment="1">
      <alignment/>
    </xf>
    <xf numFmtId="0" fontId="26" fillId="0" borderId="0" xfId="0" applyFont="1" applyFill="1" applyBorder="1" applyAlignment="1">
      <alignment horizontal="center" vertical="top" wrapText="1"/>
    </xf>
    <xf numFmtId="164" fontId="26" fillId="0" borderId="0" xfId="46" applyNumberFormat="1" applyFont="1" applyFill="1" applyBorder="1" applyAlignment="1">
      <alignment horizontal="center" vertical="top" wrapText="1"/>
    </xf>
    <xf numFmtId="164" fontId="19" fillId="0" borderId="21" xfId="42" applyNumberFormat="1" applyFont="1" applyFill="1" applyBorder="1" applyAlignment="1">
      <alignment horizontal="right" vertical="top" wrapText="1"/>
    </xf>
    <xf numFmtId="164" fontId="26" fillId="0" borderId="0" xfId="42" applyNumberFormat="1" applyFont="1" applyFill="1" applyBorder="1" applyAlignment="1">
      <alignment horizontal="center" vertical="center" wrapText="1"/>
    </xf>
    <xf numFmtId="164" fontId="19" fillId="0" borderId="21" xfId="42" applyNumberFormat="1" applyFont="1" applyFill="1" applyBorder="1" applyAlignment="1">
      <alignment horizontal="center" vertical="top" wrapText="1"/>
    </xf>
    <xf numFmtId="164" fontId="26" fillId="0" borderId="21" xfId="42" applyNumberFormat="1" applyFont="1" applyFill="1" applyBorder="1" applyAlignment="1">
      <alignment horizontal="left" vertical="top" wrapText="1"/>
    </xf>
    <xf numFmtId="164" fontId="19" fillId="0" borderId="21" xfId="42" applyNumberFormat="1" applyFont="1" applyFill="1" applyBorder="1" applyAlignment="1">
      <alignment horizontal="left" vertical="top" wrapText="1"/>
    </xf>
    <xf numFmtId="164" fontId="26" fillId="0" borderId="20" xfId="42" applyNumberFormat="1" applyFont="1" applyFill="1" applyBorder="1" applyAlignment="1">
      <alignment horizontal="left" vertical="top" wrapText="1"/>
    </xf>
    <xf numFmtId="164" fontId="19" fillId="0" borderId="20" xfId="42" applyNumberFormat="1" applyFont="1" applyFill="1" applyBorder="1" applyAlignment="1">
      <alignment horizontal="left" vertical="top" wrapText="1"/>
    </xf>
    <xf numFmtId="0" fontId="26" fillId="0" borderId="0" xfId="0" applyFont="1" applyFill="1" applyBorder="1" applyAlignment="1">
      <alignment vertical="top" wrapText="1"/>
    </xf>
    <xf numFmtId="1" fontId="5" fillId="0" borderId="0" xfId="0" applyNumberFormat="1" applyFont="1" applyFill="1" applyAlignment="1">
      <alignment horizontal="center" vertical="top"/>
    </xf>
    <xf numFmtId="164" fontId="4" fillId="0" borderId="0" xfId="44" applyNumberFormat="1" applyFont="1" applyFill="1" applyAlignment="1">
      <alignment/>
    </xf>
    <xf numFmtId="178" fontId="19" fillId="0" borderId="0" xfId="0" applyNumberFormat="1" applyFont="1" applyFill="1" applyBorder="1" applyAlignment="1">
      <alignment horizontal="center" vertical="center" wrapText="1"/>
    </xf>
    <xf numFmtId="164" fontId="4" fillId="0" borderId="0" xfId="44" applyNumberFormat="1" applyFont="1" applyFill="1" applyAlignment="1">
      <alignment/>
    </xf>
    <xf numFmtId="164" fontId="3" fillId="0" borderId="0" xfId="44" applyNumberFormat="1" applyFont="1" applyFill="1" applyAlignment="1">
      <alignment/>
    </xf>
    <xf numFmtId="164" fontId="19" fillId="0" borderId="0" xfId="44" applyNumberFormat="1" applyFont="1" applyFill="1" applyAlignment="1">
      <alignment/>
    </xf>
    <xf numFmtId="164" fontId="19" fillId="0" borderId="0" xfId="44" applyNumberFormat="1" applyFont="1" applyFill="1" applyAlignment="1">
      <alignment/>
    </xf>
    <xf numFmtId="164" fontId="26" fillId="0" borderId="0" xfId="44" applyNumberFormat="1" applyFont="1" applyFill="1" applyAlignment="1">
      <alignment/>
    </xf>
    <xf numFmtId="164" fontId="19" fillId="0" borderId="0" xfId="44" applyNumberFormat="1" applyFont="1" applyFill="1" applyAlignment="1">
      <alignment horizontal="left"/>
    </xf>
    <xf numFmtId="164" fontId="19" fillId="0" borderId="0" xfId="44" applyNumberFormat="1" applyFont="1" applyFill="1" applyAlignment="1">
      <alignment horizontal="center"/>
    </xf>
    <xf numFmtId="43" fontId="26" fillId="0" borderId="0" xfId="0" applyNumberFormat="1" applyFont="1" applyFill="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26" fillId="0" borderId="0" xfId="0" applyFont="1" applyFill="1" applyBorder="1" applyAlignment="1">
      <alignment horizontal="justify" vertical="top" wrapText="1"/>
    </xf>
    <xf numFmtId="0" fontId="19" fillId="0" borderId="0" xfId="0" applyFont="1" applyFill="1" applyBorder="1" applyAlignment="1">
      <alignment/>
    </xf>
    <xf numFmtId="0" fontId="19" fillId="0" borderId="0" xfId="0" applyFont="1" applyFill="1" applyBorder="1" applyAlignment="1">
      <alignment horizontal="center" vertical="top" wrapText="1"/>
    </xf>
    <xf numFmtId="0" fontId="7" fillId="0" borderId="0" xfId="0" applyFont="1" applyFill="1" applyBorder="1" applyAlignment="1">
      <alignment horizontal="justify" vertical="top" wrapText="1"/>
    </xf>
    <xf numFmtId="167" fontId="6" fillId="0" borderId="0" xfId="0" applyNumberFormat="1" applyFont="1" applyFill="1" applyBorder="1" applyAlignment="1">
      <alignment horizontal="center"/>
    </xf>
    <xf numFmtId="0" fontId="19" fillId="0" borderId="0" xfId="0" applyFont="1" applyFill="1" applyBorder="1" applyAlignment="1">
      <alignment horizontal="left"/>
    </xf>
    <xf numFmtId="164" fontId="26" fillId="0" borderId="25" xfId="42" applyNumberFormat="1" applyFont="1" applyFill="1" applyBorder="1" applyAlignment="1">
      <alignment horizontal="center" vertical="top" wrapText="1"/>
    </xf>
    <xf numFmtId="0" fontId="6"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xf>
    <xf numFmtId="178" fontId="19" fillId="0" borderId="24" xfId="0" applyNumberFormat="1" applyFont="1" applyFill="1" applyBorder="1" applyAlignment="1">
      <alignment vertical="top"/>
    </xf>
    <xf numFmtId="1" fontId="19" fillId="0" borderId="24" xfId="0" applyNumberFormat="1" applyFont="1" applyFill="1" applyBorder="1" applyAlignment="1">
      <alignment horizontal="center" vertical="top"/>
    </xf>
    <xf numFmtId="164" fontId="19" fillId="0" borderId="24" xfId="44" applyNumberFormat="1" applyFont="1" applyFill="1" applyBorder="1" applyAlignment="1">
      <alignment/>
    </xf>
    <xf numFmtId="0" fontId="6" fillId="0" borderId="0" xfId="0" applyFont="1" applyFill="1" applyAlignment="1">
      <alignment horizontal="left"/>
    </xf>
    <xf numFmtId="178" fontId="4" fillId="0" borderId="0" xfId="0" applyNumberFormat="1" applyFont="1" applyFill="1" applyAlignment="1">
      <alignment/>
    </xf>
    <xf numFmtId="1" fontId="4" fillId="0" borderId="0" xfId="0" applyNumberFormat="1" applyFont="1" applyFill="1" applyAlignment="1">
      <alignment/>
    </xf>
    <xf numFmtId="178" fontId="3" fillId="0" borderId="0" xfId="0" applyNumberFormat="1" applyFont="1" applyFill="1" applyAlignment="1">
      <alignment/>
    </xf>
    <xf numFmtId="164" fontId="3" fillId="0" borderId="0" xfId="44" applyNumberFormat="1" applyFont="1" applyFill="1" applyBorder="1" applyAlignment="1">
      <alignment wrapText="1"/>
    </xf>
    <xf numFmtId="164" fontId="3" fillId="0" borderId="0" xfId="44" applyNumberFormat="1" applyFont="1" applyFill="1" applyBorder="1" applyAlignment="1">
      <alignment/>
    </xf>
    <xf numFmtId="0" fontId="6" fillId="0" borderId="0" xfId="0" applyFont="1" applyFill="1" applyBorder="1" applyAlignment="1">
      <alignment/>
    </xf>
    <xf numFmtId="178" fontId="19" fillId="0" borderId="0" xfId="0" applyNumberFormat="1" applyFont="1" applyFill="1" applyAlignment="1">
      <alignment/>
    </xf>
    <xf numFmtId="178" fontId="26" fillId="0" borderId="0" xfId="0" applyNumberFormat="1" applyFont="1" applyFill="1" applyAlignment="1">
      <alignment/>
    </xf>
    <xf numFmtId="1" fontId="26" fillId="0" borderId="0" xfId="0" applyNumberFormat="1" applyFont="1" applyFill="1" applyAlignment="1">
      <alignment/>
    </xf>
    <xf numFmtId="0" fontId="5" fillId="0" borderId="0" xfId="0" applyFont="1" applyFill="1" applyBorder="1" applyAlignment="1">
      <alignment horizontal="left"/>
    </xf>
    <xf numFmtId="1" fontId="19" fillId="0" borderId="0" xfId="0" applyNumberFormat="1" applyFont="1" applyFill="1" applyAlignment="1">
      <alignment/>
    </xf>
    <xf numFmtId="178" fontId="19" fillId="0" borderId="0" xfId="0" applyNumberFormat="1" applyFont="1" applyFill="1" applyAlignment="1">
      <alignment horizontal="left"/>
    </xf>
    <xf numFmtId="178" fontId="19" fillId="0" borderId="0" xfId="0" applyNumberFormat="1" applyFont="1" applyFill="1" applyAlignment="1" quotePrefix="1">
      <alignment/>
    </xf>
    <xf numFmtId="164" fontId="19" fillId="0" borderId="24" xfId="0" applyNumberFormat="1" applyFont="1" applyFill="1" applyBorder="1" applyAlignment="1">
      <alignment horizontal="center" vertical="top" wrapText="1"/>
    </xf>
    <xf numFmtId="164" fontId="19" fillId="0" borderId="26" xfId="0" applyNumberFormat="1" applyFont="1" applyFill="1" applyBorder="1" applyAlignment="1">
      <alignment horizontal="center" vertical="top" wrapText="1"/>
    </xf>
    <xf numFmtId="164" fontId="8" fillId="0" borderId="27" xfId="42" applyNumberFormat="1" applyFont="1" applyFill="1" applyBorder="1" applyAlignment="1">
      <alignment horizontal="left" vertical="top" wrapText="1"/>
    </xf>
    <xf numFmtId="167" fontId="19"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6" fillId="0" borderId="0" xfId="0" applyFont="1" applyFill="1" applyBorder="1" applyAlignment="1">
      <alignment/>
    </xf>
    <xf numFmtId="0" fontId="7" fillId="0" borderId="0" xfId="0" applyFont="1" applyFill="1" applyBorder="1" applyAlignment="1">
      <alignment horizontal="center"/>
    </xf>
    <xf numFmtId="167" fontId="6" fillId="0" borderId="0" xfId="0" applyNumberFormat="1" applyFont="1" applyFill="1" applyBorder="1" applyAlignment="1">
      <alignment horizontal="center"/>
    </xf>
    <xf numFmtId="164" fontId="8" fillId="0" borderId="28" xfId="42" applyNumberFormat="1" applyFont="1" applyFill="1" applyBorder="1" applyAlignment="1">
      <alignment horizontal="left" vertical="top" wrapText="1"/>
    </xf>
    <xf numFmtId="0" fontId="20" fillId="0" borderId="0" xfId="0" applyFont="1" applyFill="1" applyBorder="1" applyAlignment="1">
      <alignment horizontal="center"/>
    </xf>
    <xf numFmtId="0" fontId="25" fillId="0" borderId="0" xfId="0" applyFont="1" applyFill="1" applyBorder="1" applyAlignment="1">
      <alignment/>
    </xf>
    <xf numFmtId="164" fontId="5" fillId="0" borderId="29" xfId="42" applyNumberFormat="1" applyFont="1" applyFill="1" applyBorder="1" applyAlignment="1">
      <alignment horizontal="left" vertical="top" wrapText="1"/>
    </xf>
    <xf numFmtId="178" fontId="4" fillId="0" borderId="0" xfId="0" applyNumberFormat="1" applyFont="1" applyFill="1" applyBorder="1" applyAlignment="1">
      <alignment/>
    </xf>
    <xf numFmtId="1" fontId="4" fillId="0" borderId="0" xfId="0" applyNumberFormat="1" applyFont="1" applyFill="1" applyAlignment="1">
      <alignment horizontal="center"/>
    </xf>
    <xf numFmtId="164" fontId="26" fillId="0" borderId="0" xfId="44" applyNumberFormat="1" applyFont="1" applyFill="1" applyAlignment="1">
      <alignment horizontal="center" vertical="center"/>
    </xf>
    <xf numFmtId="164" fontId="3" fillId="0" borderId="0" xfId="44" applyNumberFormat="1" applyFont="1" applyFill="1" applyAlignment="1">
      <alignment horizontal="left"/>
    </xf>
    <xf numFmtId="164" fontId="19" fillId="0" borderId="0" xfId="44" applyNumberFormat="1" applyFont="1" applyFill="1" applyAlignment="1">
      <alignment/>
    </xf>
    <xf numFmtId="0" fontId="6" fillId="0" borderId="0" xfId="0" applyFont="1" applyFill="1" applyBorder="1" applyAlignment="1">
      <alignment horizontal="center"/>
    </xf>
    <xf numFmtId="0" fontId="1" fillId="0" borderId="0" xfId="0" applyFont="1" applyFill="1" applyAlignment="1">
      <alignment/>
    </xf>
    <xf numFmtId="0" fontId="1" fillId="0" borderId="0" xfId="0" applyNumberFormat="1" applyFont="1" applyFill="1" applyAlignment="1">
      <alignment/>
    </xf>
    <xf numFmtId="0" fontId="1" fillId="0" borderId="0" xfId="0" applyFont="1" applyFill="1" applyAlignment="1">
      <alignment horizontal="center"/>
    </xf>
    <xf numFmtId="0" fontId="2" fillId="0" borderId="0" xfId="0" applyFont="1" applyFill="1" applyAlignment="1">
      <alignment/>
    </xf>
    <xf numFmtId="0"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43" fontId="1" fillId="0" borderId="0" xfId="0" applyNumberFormat="1" applyFont="1" applyFill="1" applyAlignment="1">
      <alignment/>
    </xf>
    <xf numFmtId="164" fontId="1" fillId="0" borderId="0" xfId="0" applyNumberFormat="1" applyFont="1" applyFill="1" applyAlignment="1">
      <alignment/>
    </xf>
    <xf numFmtId="0" fontId="2" fillId="0" borderId="0" xfId="0" applyFont="1" applyFill="1" applyAlignment="1">
      <alignment horizontal="center"/>
    </xf>
    <xf numFmtId="0" fontId="2" fillId="0" borderId="29" xfId="0" applyFont="1" applyFill="1" applyBorder="1" applyAlignment="1">
      <alignment/>
    </xf>
    <xf numFmtId="0" fontId="1" fillId="0" borderId="29" xfId="0" applyFont="1" applyFill="1" applyBorder="1" applyAlignment="1">
      <alignment/>
    </xf>
    <xf numFmtId="0" fontId="19" fillId="0" borderId="24" xfId="0" applyFont="1" applyFill="1" applyBorder="1" applyAlignment="1">
      <alignment vertical="top"/>
    </xf>
    <xf numFmtId="0" fontId="19" fillId="0" borderId="24" xfId="0" applyFont="1" applyFill="1" applyBorder="1" applyAlignment="1">
      <alignment vertical="top" wrapText="1"/>
    </xf>
    <xf numFmtId="0" fontId="19" fillId="0" borderId="24" xfId="0" applyFont="1" applyFill="1" applyBorder="1" applyAlignment="1">
      <alignment horizontal="center" vertical="top" wrapText="1"/>
    </xf>
    <xf numFmtId="164" fontId="8" fillId="0" borderId="24" xfId="0" applyNumberFormat="1" applyFont="1" applyFill="1" applyBorder="1" applyAlignment="1">
      <alignment/>
    </xf>
    <xf numFmtId="0" fontId="8" fillId="0" borderId="24" xfId="0" applyFont="1" applyFill="1" applyBorder="1" applyAlignment="1">
      <alignment/>
    </xf>
    <xf numFmtId="164" fontId="19" fillId="0" borderId="0" xfId="0" applyNumberFormat="1" applyFont="1" applyFill="1" applyBorder="1" applyAlignment="1">
      <alignment horizontal="center" vertical="top"/>
    </xf>
    <xf numFmtId="164" fontId="19" fillId="0" borderId="25" xfId="42" applyNumberFormat="1" applyFont="1" applyFill="1" applyBorder="1" applyAlignment="1">
      <alignment horizontal="center" vertical="top"/>
    </xf>
    <xf numFmtId="0" fontId="19" fillId="0" borderId="19" xfId="0" applyFont="1" applyFill="1" applyBorder="1" applyAlignment="1">
      <alignment vertical="top"/>
    </xf>
    <xf numFmtId="0" fontId="19" fillId="0" borderId="19" xfId="0" applyFont="1" applyFill="1" applyBorder="1" applyAlignment="1">
      <alignment vertical="top" wrapText="1"/>
    </xf>
    <xf numFmtId="0" fontId="19" fillId="0" borderId="19" xfId="0" applyFont="1" applyFill="1" applyBorder="1" applyAlignment="1">
      <alignment horizontal="center" vertical="top" wrapText="1"/>
    </xf>
    <xf numFmtId="164" fontId="8" fillId="0" borderId="19" xfId="0" applyNumberFormat="1" applyFont="1" applyFill="1" applyBorder="1" applyAlignment="1">
      <alignment/>
    </xf>
    <xf numFmtId="164" fontId="19" fillId="0" borderId="19" xfId="42" applyNumberFormat="1" applyFont="1" applyFill="1" applyBorder="1" applyAlignment="1">
      <alignment horizontal="center" vertical="top"/>
    </xf>
    <xf numFmtId="0" fontId="19" fillId="0" borderId="0" xfId="0" applyFont="1" applyFill="1" applyBorder="1" applyAlignment="1">
      <alignment horizontal="center"/>
    </xf>
    <xf numFmtId="0" fontId="27" fillId="0" borderId="0" xfId="0" applyNumberFormat="1" applyFont="1" applyFill="1" applyBorder="1" applyAlignment="1">
      <alignment/>
    </xf>
    <xf numFmtId="0" fontId="19"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43" fontId="5" fillId="0" borderId="0" xfId="0" applyNumberFormat="1" applyFont="1" applyFill="1" applyBorder="1" applyAlignment="1">
      <alignment vertical="top" wrapText="1"/>
    </xf>
    <xf numFmtId="164" fontId="5" fillId="0" borderId="0" xfId="0" applyNumberFormat="1" applyFont="1" applyFill="1" applyBorder="1" applyAlignment="1">
      <alignment vertical="top" wrapText="1"/>
    </xf>
    <xf numFmtId="0" fontId="5" fillId="0" borderId="0" xfId="0" applyFont="1" applyFill="1" applyBorder="1" applyAlignment="1">
      <alignment/>
    </xf>
    <xf numFmtId="0" fontId="8"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43" fontId="5" fillId="0" borderId="0" xfId="42" applyNumberFormat="1" applyFont="1" applyFill="1" applyBorder="1" applyAlignment="1">
      <alignment vertical="top" wrapText="1"/>
    </xf>
    <xf numFmtId="164" fontId="5" fillId="0" borderId="0" xfId="42" applyNumberFormat="1" applyFont="1" applyFill="1" applyBorder="1" applyAlignment="1">
      <alignment vertical="top" wrapText="1"/>
    </xf>
    <xf numFmtId="0" fontId="5" fillId="0" borderId="0" xfId="0" applyNumberFormat="1" applyFont="1" applyFill="1" applyBorder="1" applyAlignment="1">
      <alignment/>
    </xf>
    <xf numFmtId="0" fontId="7" fillId="0" borderId="0" xfId="0" applyFont="1" applyFill="1" applyBorder="1" applyAlignment="1">
      <alignment/>
    </xf>
    <xf numFmtId="0" fontId="26" fillId="0" borderId="0" xfId="0" applyFont="1" applyFill="1" applyBorder="1" applyAlignment="1">
      <alignment horizontal="center"/>
    </xf>
    <xf numFmtId="164" fontId="5" fillId="0" borderId="0" xfId="42" applyNumberFormat="1" applyFont="1" applyFill="1" applyBorder="1" applyAlignment="1">
      <alignment horizontal="left" vertical="top" wrapText="1"/>
    </xf>
    <xf numFmtId="0" fontId="1" fillId="0" borderId="0" xfId="0" applyNumberFormat="1" applyFont="1" applyFill="1" applyBorder="1" applyAlignment="1">
      <alignment/>
    </xf>
    <xf numFmtId="0" fontId="5"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vertical="top" wrapText="1"/>
    </xf>
    <xf numFmtId="164" fontId="8" fillId="0" borderId="21" xfId="42" applyNumberFormat="1" applyFont="1" applyFill="1" applyBorder="1" applyAlignment="1">
      <alignment horizontal="left" vertical="top" wrapText="1"/>
    </xf>
    <xf numFmtId="164" fontId="8" fillId="0" borderId="30" xfId="42" applyNumberFormat="1" applyFont="1" applyFill="1" applyBorder="1" applyAlignment="1">
      <alignment horizontal="left" vertical="top" wrapText="1"/>
    </xf>
    <xf numFmtId="164" fontId="8" fillId="0" borderId="31" xfId="42" applyNumberFormat="1" applyFont="1" applyFill="1" applyBorder="1" applyAlignment="1">
      <alignment horizontal="left" vertical="top" wrapText="1"/>
    </xf>
    <xf numFmtId="164" fontId="5" fillId="0" borderId="31" xfId="42" applyNumberFormat="1" applyFont="1" applyFill="1" applyBorder="1" applyAlignment="1">
      <alignment horizontal="left" vertical="top" wrapText="1"/>
    </xf>
    <xf numFmtId="164" fontId="8" fillId="0" borderId="25" xfId="42" applyNumberFormat="1" applyFont="1" applyFill="1" applyBorder="1" applyAlignment="1">
      <alignment horizontal="left" vertical="top" wrapText="1"/>
    </xf>
    <xf numFmtId="164" fontId="5" fillId="0" borderId="0" xfId="42" applyNumberFormat="1" applyFont="1" applyFill="1" applyBorder="1" applyAlignment="1">
      <alignment horizontal="left" vertical="top" wrapText="1"/>
    </xf>
    <xf numFmtId="164" fontId="5" fillId="0" borderId="0" xfId="42" applyNumberFormat="1" applyFont="1" applyFill="1" applyBorder="1" applyAlignment="1">
      <alignment/>
    </xf>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64" fontId="8" fillId="0" borderId="0" xfId="42" applyNumberFormat="1" applyFont="1" applyFill="1" applyBorder="1" applyAlignment="1">
      <alignment horizontal="left" vertical="top" wrapText="1"/>
    </xf>
    <xf numFmtId="164" fontId="8" fillId="0" borderId="24" xfId="42" applyNumberFormat="1" applyFont="1" applyFill="1" applyBorder="1" applyAlignment="1">
      <alignment horizontal="left" vertical="top" wrapText="1"/>
    </xf>
    <xf numFmtId="164" fontId="5" fillId="0" borderId="24" xfId="42" applyNumberFormat="1" applyFont="1" applyFill="1" applyBorder="1" applyAlignment="1">
      <alignment/>
    </xf>
    <xf numFmtId="0" fontId="8" fillId="0" borderId="0" xfId="0" applyFont="1" applyFill="1" applyBorder="1" applyAlignment="1">
      <alignment horizontal="justify" vertical="top" wrapText="1"/>
    </xf>
    <xf numFmtId="164" fontId="5" fillId="0" borderId="0" xfId="42" applyNumberFormat="1" applyFont="1" applyFill="1" applyBorder="1" applyAlignment="1">
      <alignment/>
    </xf>
    <xf numFmtId="0" fontId="5" fillId="0" borderId="0" xfId="0" applyFont="1" applyFill="1" applyBorder="1" applyAlignment="1">
      <alignment horizontal="justify" vertical="top" wrapText="1"/>
    </xf>
    <xf numFmtId="164" fontId="5" fillId="0" borderId="0" xfId="46" applyNumberFormat="1" applyFont="1" applyFill="1" applyBorder="1" applyAlignment="1">
      <alignment horizontal="left" vertical="top" wrapText="1"/>
    </xf>
    <xf numFmtId="164" fontId="8" fillId="0" borderId="30" xfId="42" applyNumberFormat="1" applyFont="1" applyFill="1" applyBorder="1" applyAlignment="1">
      <alignment horizontal="left" vertical="top" wrapText="1"/>
    </xf>
    <xf numFmtId="164" fontId="5" fillId="0" borderId="25" xfId="42" applyNumberFormat="1" applyFont="1" applyFill="1" applyBorder="1" applyAlignment="1">
      <alignment horizontal="left" vertical="top" wrapText="1"/>
    </xf>
    <xf numFmtId="164" fontId="8" fillId="0" borderId="20" xfId="42" applyNumberFormat="1" applyFont="1" applyFill="1" applyBorder="1" applyAlignment="1">
      <alignment horizontal="left" vertical="top" wrapText="1"/>
    </xf>
    <xf numFmtId="164" fontId="8" fillId="0" borderId="27" xfId="42" applyNumberFormat="1" applyFont="1" applyFill="1" applyBorder="1" applyAlignment="1">
      <alignment horizontal="left" vertical="top" wrapText="1"/>
    </xf>
    <xf numFmtId="164" fontId="8" fillId="0" borderId="32" xfId="42"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43" fontId="5" fillId="0" borderId="19" xfId="46" applyNumberFormat="1" applyFont="1" applyFill="1" applyBorder="1" applyAlignment="1">
      <alignment horizontal="left" vertical="top" wrapText="1"/>
    </xf>
    <xf numFmtId="164" fontId="5" fillId="0" borderId="19" xfId="46" applyNumberFormat="1" applyFont="1" applyFill="1" applyBorder="1" applyAlignment="1">
      <alignment horizontal="left" vertical="top" wrapText="1"/>
    </xf>
    <xf numFmtId="164" fontId="5" fillId="0" borderId="33" xfId="42" applyNumberFormat="1" applyFont="1" applyFill="1" applyBorder="1" applyAlignment="1">
      <alignment horizontal="left" vertical="top" wrapText="1"/>
    </xf>
    <xf numFmtId="164" fontId="5" fillId="0" borderId="34" xfId="42" applyNumberFormat="1" applyFont="1" applyFill="1" applyBorder="1" applyAlignment="1">
      <alignment horizontal="left" vertical="top" wrapText="1"/>
    </xf>
    <xf numFmtId="164" fontId="8" fillId="0" borderId="34" xfId="42" applyNumberFormat="1" applyFont="1" applyFill="1" applyBorder="1" applyAlignment="1">
      <alignment horizontal="left" vertical="top" wrapText="1"/>
    </xf>
    <xf numFmtId="0" fontId="6" fillId="0" borderId="0" xfId="0" applyFont="1" applyFill="1" applyBorder="1" applyAlignment="1">
      <alignment horizontal="center" vertical="top"/>
    </xf>
    <xf numFmtId="164" fontId="8" fillId="0" borderId="0" xfId="42" applyNumberFormat="1" applyFont="1" applyFill="1" applyBorder="1" applyAlignment="1">
      <alignment horizontal="left" vertical="top" wrapText="1"/>
    </xf>
    <xf numFmtId="0" fontId="6" fillId="0" borderId="0" xfId="0" applyFont="1" applyFill="1" applyBorder="1" applyAlignment="1">
      <alignment vertical="top"/>
    </xf>
    <xf numFmtId="164" fontId="8" fillId="0" borderId="10" xfId="42" applyNumberFormat="1" applyFont="1" applyFill="1" applyBorder="1" applyAlignment="1">
      <alignment horizontal="left" vertical="top" wrapText="1"/>
    </xf>
    <xf numFmtId="0" fontId="5" fillId="0" borderId="0" xfId="0" applyFont="1" applyFill="1" applyBorder="1" applyAlignment="1">
      <alignment/>
    </xf>
    <xf numFmtId="167" fontId="7" fillId="0" borderId="0" xfId="0" applyNumberFormat="1" applyFont="1" applyFill="1" applyBorder="1" applyAlignment="1">
      <alignment horizontal="center"/>
    </xf>
    <xf numFmtId="164" fontId="5" fillId="0" borderId="0" xfId="42" applyNumberFormat="1" applyFont="1" applyFill="1" applyBorder="1" applyAlignment="1">
      <alignment horizontal="left"/>
    </xf>
    <xf numFmtId="0" fontId="7" fillId="0" borderId="0" xfId="0" applyFont="1" applyFill="1" applyBorder="1" applyAlignment="1">
      <alignment/>
    </xf>
    <xf numFmtId="164" fontId="8" fillId="0" borderId="25" xfId="42" applyNumberFormat="1" applyFont="1" applyFill="1" applyBorder="1" applyAlignment="1">
      <alignment horizontal="left" vertical="top" wrapText="1"/>
    </xf>
    <xf numFmtId="164" fontId="8" fillId="0" borderId="25" xfId="42" applyNumberFormat="1" applyFont="1" applyFill="1" applyBorder="1" applyAlignment="1">
      <alignment horizontal="left" vertical="top" wrapText="1"/>
    </xf>
    <xf numFmtId="164" fontId="8" fillId="0" borderId="0" xfId="42" applyNumberFormat="1" applyFont="1" applyFill="1" applyBorder="1" applyAlignment="1">
      <alignment/>
    </xf>
    <xf numFmtId="0" fontId="6" fillId="0" borderId="0" xfId="0" applyFont="1" applyFill="1" applyBorder="1" applyAlignment="1">
      <alignment vertical="top" wrapText="1"/>
    </xf>
    <xf numFmtId="164" fontId="8" fillId="0" borderId="10" xfId="42" applyNumberFormat="1" applyFont="1" applyFill="1" applyBorder="1" applyAlignment="1">
      <alignment horizontal="left" vertical="top" wrapText="1"/>
    </xf>
    <xf numFmtId="164" fontId="8" fillId="0" borderId="27" xfId="42" applyNumberFormat="1" applyFont="1" applyFill="1" applyBorder="1" applyAlignment="1">
      <alignment horizontal="left" vertical="top" wrapText="1"/>
    </xf>
    <xf numFmtId="164" fontId="8" fillId="0" borderId="28" xfId="42" applyNumberFormat="1"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64" fontId="5" fillId="0" borderId="0" xfId="42" applyNumberFormat="1" applyFont="1" applyFill="1" applyBorder="1" applyAlignment="1">
      <alignment horizontal="center" vertical="top" wrapText="1"/>
    </xf>
    <xf numFmtId="164" fontId="5" fillId="0" borderId="0" xfId="42" applyNumberFormat="1" applyFont="1" applyFill="1" applyBorder="1" applyAlignment="1">
      <alignment/>
    </xf>
    <xf numFmtId="164" fontId="6" fillId="0" borderId="0" xfId="42" applyNumberFormat="1" applyFont="1" applyFill="1" applyAlignment="1">
      <alignment/>
    </xf>
    <xf numFmtId="178" fontId="19" fillId="0" borderId="24" xfId="0" applyNumberFormat="1" applyFont="1" applyFill="1" applyBorder="1" applyAlignment="1">
      <alignment vertical="top"/>
    </xf>
    <xf numFmtId="1" fontId="19" fillId="0" borderId="24" xfId="0" applyNumberFormat="1" applyFont="1" applyFill="1" applyBorder="1" applyAlignment="1">
      <alignment horizontal="center" vertical="top"/>
    </xf>
    <xf numFmtId="164" fontId="19" fillId="0" borderId="24" xfId="44" applyNumberFormat="1" applyFont="1" applyFill="1" applyBorder="1" applyAlignment="1">
      <alignment/>
    </xf>
    <xf numFmtId="0" fontId="19" fillId="0" borderId="24" xfId="0" applyFont="1" applyFill="1" applyBorder="1" applyAlignment="1">
      <alignment/>
    </xf>
    <xf numFmtId="178" fontId="19" fillId="0" borderId="0" xfId="0" applyNumberFormat="1" applyFont="1" applyFill="1" applyAlignment="1">
      <alignment/>
    </xf>
    <xf numFmtId="0" fontId="8" fillId="0" borderId="0" xfId="0" applyFont="1" applyFill="1" applyAlignment="1">
      <alignment/>
    </xf>
    <xf numFmtId="0" fontId="5" fillId="0" borderId="0" xfId="0" applyFont="1" applyFill="1" applyAlignment="1">
      <alignment/>
    </xf>
    <xf numFmtId="164" fontId="19" fillId="0" borderId="0" xfId="44" applyNumberFormat="1" applyFont="1" applyFill="1" applyAlignment="1">
      <alignment horizontal="left"/>
    </xf>
    <xf numFmtId="0" fontId="5" fillId="0" borderId="0" xfId="0" applyFont="1" applyFill="1" applyAlignment="1">
      <alignment/>
    </xf>
    <xf numFmtId="1" fontId="19" fillId="0" borderId="0" xfId="0" applyNumberFormat="1" applyFont="1" applyFill="1" applyAlignment="1">
      <alignment/>
    </xf>
    <xf numFmtId="164" fontId="19" fillId="0" borderId="0" xfId="44" applyNumberFormat="1" applyFont="1" applyFill="1" applyAlignment="1">
      <alignment/>
    </xf>
    <xf numFmtId="164" fontId="19" fillId="0" borderId="0" xfId="44" applyNumberFormat="1" applyFont="1" applyFill="1" applyAlignment="1">
      <alignment horizontal="center"/>
    </xf>
    <xf numFmtId="0" fontId="3" fillId="0" borderId="0" xfId="0" applyFont="1" applyFill="1" applyAlignment="1">
      <alignment/>
    </xf>
    <xf numFmtId="0" fontId="2" fillId="0" borderId="29" xfId="0" applyFont="1" applyFill="1" applyBorder="1" applyAlignment="1">
      <alignment horizontal="center"/>
    </xf>
    <xf numFmtId="0" fontId="5" fillId="0" borderId="0" xfId="0" applyFont="1" applyFill="1" applyBorder="1" applyAlignment="1">
      <alignment horizontal="center"/>
    </xf>
    <xf numFmtId="164" fontId="19" fillId="0" borderId="24" xfId="0" applyNumberFormat="1" applyFont="1" applyFill="1" applyBorder="1" applyAlignment="1">
      <alignment vertical="top" wrapText="1"/>
    </xf>
    <xf numFmtId="164" fontId="19" fillId="0" borderId="19" xfId="0" applyNumberFormat="1" applyFont="1" applyFill="1" applyBorder="1" applyAlignment="1">
      <alignment horizontal="center" vertical="top" wrapText="1"/>
    </xf>
    <xf numFmtId="0" fontId="19" fillId="0" borderId="0" xfId="0" applyFont="1" applyFill="1" applyBorder="1" applyAlignment="1">
      <alignment vertical="top" wrapText="1"/>
    </xf>
    <xf numFmtId="164" fontId="19" fillId="0" borderId="25" xfId="42" applyNumberFormat="1" applyFont="1" applyFill="1" applyBorder="1" applyAlignment="1">
      <alignment horizontal="center" vertical="top" wrapText="1"/>
    </xf>
    <xf numFmtId="0" fontId="7" fillId="0" borderId="0" xfId="0" applyFont="1" applyFill="1" applyBorder="1" applyAlignment="1">
      <alignment/>
    </xf>
    <xf numFmtId="0" fontId="6" fillId="0" borderId="0" xfId="0" applyFont="1" applyFill="1" applyAlignment="1">
      <alignment/>
    </xf>
    <xf numFmtId="164" fontId="19" fillId="0" borderId="28" xfId="42" applyNumberFormat="1" applyFont="1" applyFill="1" applyBorder="1" applyAlignment="1">
      <alignment horizontal="center" vertical="top" wrapText="1"/>
    </xf>
    <xf numFmtId="0" fontId="6" fillId="0" borderId="0" xfId="0" applyFont="1" applyFill="1" applyBorder="1" applyAlignment="1">
      <alignment horizontal="right"/>
    </xf>
    <xf numFmtId="1" fontId="5" fillId="0" borderId="0" xfId="0" applyNumberFormat="1" applyFont="1" applyFill="1" applyAlignment="1">
      <alignment horizontal="center" vertical="top"/>
    </xf>
    <xf numFmtId="164" fontId="8" fillId="0" borderId="0" xfId="42" applyNumberFormat="1" applyFont="1" applyFill="1" applyAlignment="1">
      <alignment/>
    </xf>
    <xf numFmtId="0" fontId="6" fillId="0" borderId="0" xfId="0" applyFont="1" applyFill="1" applyAlignment="1">
      <alignment horizontal="left"/>
    </xf>
    <xf numFmtId="164" fontId="8" fillId="0" borderId="0" xfId="42" applyNumberFormat="1" applyFont="1" applyFill="1" applyAlignment="1">
      <alignment/>
    </xf>
    <xf numFmtId="164" fontId="5" fillId="0" borderId="0" xfId="42" applyNumberFormat="1" applyFont="1" applyFill="1" applyAlignment="1">
      <alignment/>
    </xf>
    <xf numFmtId="0" fontId="8" fillId="0" borderId="0" xfId="0" applyFont="1" applyFill="1" applyBorder="1" applyAlignment="1">
      <alignment/>
    </xf>
    <xf numFmtId="164" fontId="5" fillId="0" borderId="0" xfId="42" applyNumberFormat="1" applyFont="1" applyFill="1" applyAlignment="1">
      <alignment/>
    </xf>
    <xf numFmtId="164" fontId="19" fillId="0" borderId="30" xfId="42" applyNumberFormat="1" applyFont="1" applyFill="1" applyBorder="1" applyAlignment="1">
      <alignment horizontal="right" vertical="top" wrapText="1"/>
    </xf>
    <xf numFmtId="164" fontId="19" fillId="0" borderId="30" xfId="42" applyNumberFormat="1" applyFont="1" applyFill="1" applyBorder="1" applyAlignment="1">
      <alignment horizontal="center" vertical="top" wrapText="1"/>
    </xf>
    <xf numFmtId="164" fontId="26" fillId="0" borderId="30" xfId="42" applyNumberFormat="1" applyFont="1" applyFill="1" applyBorder="1" applyAlignment="1">
      <alignment horizontal="left" vertical="top" wrapText="1"/>
    </xf>
    <xf numFmtId="164" fontId="26" fillId="0" borderId="27" xfId="42" applyNumberFormat="1" applyFont="1" applyFill="1" applyBorder="1" applyAlignment="1">
      <alignment horizontal="left" vertical="top" wrapText="1"/>
    </xf>
    <xf numFmtId="0" fontId="8" fillId="0" borderId="35" xfId="0" applyFont="1" applyFill="1" applyBorder="1" applyAlignment="1">
      <alignment horizontal="center"/>
    </xf>
    <xf numFmtId="164" fontId="19" fillId="0" borderId="31" xfId="42" applyNumberFormat="1" applyFont="1" applyFill="1" applyBorder="1" applyAlignment="1">
      <alignment horizontal="center" vertical="top" wrapText="1"/>
    </xf>
    <xf numFmtId="164" fontId="26" fillId="0" borderId="31" xfId="42" applyNumberFormat="1" applyFont="1" applyFill="1" applyBorder="1" applyAlignment="1">
      <alignment horizontal="center" vertical="top" wrapText="1"/>
    </xf>
    <xf numFmtId="164" fontId="19" fillId="0" borderId="32" xfId="42" applyNumberFormat="1" applyFont="1" applyFill="1" applyBorder="1" applyAlignment="1">
      <alignment horizontal="center" vertical="top" wrapText="1"/>
    </xf>
    <xf numFmtId="164"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164" fontId="2" fillId="0" borderId="0" xfId="0" applyNumberFormat="1" applyFon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horizontal="center"/>
    </xf>
    <xf numFmtId="164" fontId="19" fillId="0" borderId="0" xfId="42" applyNumberFormat="1" applyFont="1" applyFill="1" applyBorder="1" applyAlignment="1">
      <alignment horizontal="right" vertical="top" wrapText="1"/>
    </xf>
    <xf numFmtId="164" fontId="19" fillId="0" borderId="0" xfId="42" applyNumberFormat="1" applyFont="1" applyFill="1" applyBorder="1" applyAlignment="1">
      <alignment horizontal="center" vertical="top" wrapText="1"/>
    </xf>
    <xf numFmtId="164" fontId="26" fillId="0" borderId="0" xfId="42" applyNumberFormat="1" applyFont="1" applyFill="1" applyBorder="1" applyAlignment="1">
      <alignment horizontal="left" vertical="top" wrapText="1"/>
    </xf>
    <xf numFmtId="164" fontId="5" fillId="0" borderId="36" xfId="46" applyNumberFormat="1" applyFont="1" applyFill="1" applyBorder="1" applyAlignment="1">
      <alignment horizontal="left" vertical="top" wrapText="1"/>
    </xf>
    <xf numFmtId="164" fontId="8" fillId="0" borderId="37" xfId="42" applyNumberFormat="1" applyFont="1" applyFill="1" applyBorder="1" applyAlignment="1">
      <alignment horizontal="left" vertical="top" wrapText="1"/>
    </xf>
    <xf numFmtId="164" fontId="8" fillId="0" borderId="37" xfId="42" applyNumberFormat="1" applyFont="1" applyFill="1" applyBorder="1" applyAlignment="1">
      <alignment horizontal="left" vertical="top" wrapText="1"/>
    </xf>
    <xf numFmtId="0" fontId="8" fillId="0" borderId="35" xfId="0" applyFont="1" applyFill="1" applyBorder="1" applyAlignment="1">
      <alignment/>
    </xf>
    <xf numFmtId="164" fontId="8" fillId="0" borderId="31" xfId="42" applyNumberFormat="1" applyFont="1" applyFill="1" applyBorder="1" applyAlignment="1">
      <alignment horizontal="left" vertical="top" wrapText="1"/>
    </xf>
    <xf numFmtId="164" fontId="8" fillId="0" borderId="32" xfId="42" applyNumberFormat="1" applyFont="1" applyFill="1" applyBorder="1" applyAlignment="1">
      <alignment horizontal="left" vertical="top" wrapText="1"/>
    </xf>
    <xf numFmtId="43" fontId="5" fillId="0" borderId="35" xfId="46" applyNumberFormat="1" applyFont="1" applyFill="1" applyBorder="1" applyAlignment="1">
      <alignment horizontal="left" vertical="top" wrapText="1"/>
    </xf>
    <xf numFmtId="164" fontId="8" fillId="0" borderId="38" xfId="42" applyNumberFormat="1" applyFont="1" applyFill="1" applyBorder="1" applyAlignment="1">
      <alignment horizontal="left" vertical="top" wrapText="1"/>
    </xf>
    <xf numFmtId="164" fontId="8" fillId="0" borderId="38" xfId="42" applyNumberFormat="1" applyFont="1" applyFill="1" applyBorder="1" applyAlignment="1">
      <alignment horizontal="left" vertical="top" wrapText="1"/>
    </xf>
    <xf numFmtId="43" fontId="2" fillId="0" borderId="0" xfId="0" applyNumberFormat="1"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xf>
    <xf numFmtId="164" fontId="8" fillId="0" borderId="0" xfId="42" applyNumberFormat="1" applyFont="1" applyFill="1" applyBorder="1" applyAlignment="1">
      <alignment horizontal="left" vertical="top" wrapText="1"/>
    </xf>
    <xf numFmtId="164" fontId="5" fillId="0" borderId="0" xfId="46" applyNumberFormat="1" applyFont="1" applyFill="1" applyBorder="1" applyAlignment="1">
      <alignment horizontal="left" vertical="top" wrapText="1"/>
    </xf>
    <xf numFmtId="43" fontId="5" fillId="0" borderId="0" xfId="46" applyNumberFormat="1" applyFont="1" applyFill="1" applyBorder="1" applyAlignment="1">
      <alignment horizontal="left" vertical="top" wrapText="1"/>
    </xf>
    <xf numFmtId="164" fontId="8" fillId="0" borderId="0" xfId="42" applyNumberFormat="1" applyFont="1" applyFill="1" applyBorder="1" applyAlignment="1">
      <alignment horizontal="left" vertical="top" wrapText="1"/>
    </xf>
    <xf numFmtId="164" fontId="6" fillId="0" borderId="0" xfId="42" applyNumberFormat="1" applyFont="1" applyFill="1" applyBorder="1" applyAlignment="1">
      <alignment/>
    </xf>
    <xf numFmtId="0" fontId="8" fillId="0" borderId="0" xfId="0" applyFont="1" applyFill="1" applyBorder="1" applyAlignment="1">
      <alignment horizontal="center" vertical="top" wrapText="1"/>
    </xf>
    <xf numFmtId="178" fontId="19" fillId="0" borderId="0"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47" fillId="0" borderId="19" xfId="0" applyFont="1" applyFill="1" applyBorder="1" applyAlignment="1">
      <alignment horizontal="center" vertical="top" wrapText="1"/>
    </xf>
    <xf numFmtId="0" fontId="1" fillId="0" borderId="29"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8" fillId="0" borderId="24" xfId="0" applyFont="1" applyFill="1" applyBorder="1" applyAlignment="1">
      <alignment/>
    </xf>
    <xf numFmtId="43" fontId="8" fillId="0" borderId="19" xfId="0" applyNumberFormat="1" applyFont="1" applyFill="1" applyBorder="1" applyAlignment="1">
      <alignment/>
    </xf>
    <xf numFmtId="0" fontId="8" fillId="0" borderId="0" xfId="0" applyFont="1" applyFill="1" applyBorder="1" applyAlignment="1">
      <alignment horizontal="center" vertical="top" wrapText="1"/>
    </xf>
    <xf numFmtId="0" fontId="8" fillId="0" borderId="0" xfId="0" applyFont="1" applyFill="1" applyBorder="1" applyAlignment="1">
      <alignment/>
    </xf>
    <xf numFmtId="0" fontId="8" fillId="0" borderId="35" xfId="0" applyFont="1" applyFill="1" applyBorder="1" applyAlignment="1">
      <alignment/>
    </xf>
    <xf numFmtId="43" fontId="5" fillId="0" borderId="0" xfId="0" applyNumberFormat="1" applyFont="1" applyFill="1" applyBorder="1" applyAlignment="1">
      <alignment vertical="top" wrapText="1"/>
    </xf>
    <xf numFmtId="164" fontId="5" fillId="0" borderId="0" xfId="0" applyNumberFormat="1" applyFont="1" applyFill="1" applyBorder="1" applyAlignment="1">
      <alignment vertical="top" wrapText="1"/>
    </xf>
    <xf numFmtId="43" fontId="5" fillId="0" borderId="0" xfId="42" applyNumberFormat="1" applyFont="1" applyFill="1" applyBorder="1" applyAlignment="1">
      <alignment vertical="top" wrapText="1"/>
    </xf>
    <xf numFmtId="164" fontId="5" fillId="0" borderId="0" xfId="42" applyNumberFormat="1" applyFont="1" applyFill="1" applyBorder="1" applyAlignment="1">
      <alignment vertical="top" wrapText="1"/>
    </xf>
    <xf numFmtId="164" fontId="5" fillId="0" borderId="0" xfId="42" applyNumberFormat="1" applyFont="1" applyFill="1" applyBorder="1" applyAlignment="1">
      <alignment horizontal="left" vertical="top" wrapText="1"/>
    </xf>
    <xf numFmtId="0" fontId="1" fillId="0" borderId="0" xfId="0" applyNumberFormat="1" applyFont="1" applyFill="1" applyBorder="1" applyAlignment="1">
      <alignment/>
    </xf>
    <xf numFmtId="164" fontId="8" fillId="0" borderId="30" xfId="42" applyNumberFormat="1" applyFont="1" applyFill="1" applyBorder="1" applyAlignment="1">
      <alignment horizontal="left" vertical="top" wrapText="1"/>
    </xf>
    <xf numFmtId="164" fontId="8" fillId="0" borderId="31" xfId="42" applyNumberFormat="1" applyFont="1" applyFill="1" applyBorder="1" applyAlignment="1">
      <alignment horizontal="left" vertical="top" wrapText="1"/>
    </xf>
    <xf numFmtId="164" fontId="8" fillId="0" borderId="31" xfId="42" applyNumberFormat="1" applyFont="1" applyFill="1" applyBorder="1" applyAlignment="1">
      <alignment horizontal="left" vertical="top" wrapText="1"/>
    </xf>
    <xf numFmtId="164" fontId="5" fillId="0" borderId="31" xfId="42" applyNumberFormat="1" applyFont="1" applyFill="1" applyBorder="1" applyAlignment="1">
      <alignment horizontal="left" vertical="top" wrapText="1"/>
    </xf>
    <xf numFmtId="164" fontId="8" fillId="0" borderId="24" xfId="42" applyNumberFormat="1" applyFont="1" applyFill="1" applyBorder="1" applyAlignment="1">
      <alignment horizontal="left" vertical="top" wrapText="1"/>
    </xf>
    <xf numFmtId="164" fontId="5" fillId="0" borderId="24" xfId="42" applyNumberFormat="1" applyFont="1" applyFill="1" applyBorder="1" applyAlignment="1">
      <alignment/>
    </xf>
    <xf numFmtId="0" fontId="5" fillId="0" borderId="0" xfId="0" applyFont="1" applyFill="1" applyBorder="1" applyAlignment="1">
      <alignment horizontal="justify" vertical="top" wrapText="1"/>
    </xf>
    <xf numFmtId="164" fontId="5" fillId="0" borderId="0" xfId="46" applyNumberFormat="1" applyFont="1" applyFill="1" applyBorder="1" applyAlignment="1">
      <alignment horizontal="left" vertical="top" wrapText="1"/>
    </xf>
    <xf numFmtId="164" fontId="8" fillId="0" borderId="30" xfId="42" applyNumberFormat="1" applyFont="1" applyFill="1" applyBorder="1" applyAlignment="1">
      <alignment horizontal="left" vertical="top" wrapText="1"/>
    </xf>
    <xf numFmtId="164" fontId="5" fillId="0" borderId="25" xfId="42" applyNumberFormat="1" applyFont="1" applyFill="1" applyBorder="1" applyAlignment="1">
      <alignment horizontal="left" vertical="top" wrapText="1"/>
    </xf>
    <xf numFmtId="164" fontId="8" fillId="0" borderId="20" xfId="42" applyNumberFormat="1" applyFont="1" applyFill="1" applyBorder="1" applyAlignment="1">
      <alignment horizontal="left" vertical="top" wrapText="1"/>
    </xf>
    <xf numFmtId="164" fontId="8" fillId="0" borderId="27" xfId="42" applyNumberFormat="1" applyFont="1" applyFill="1" applyBorder="1" applyAlignment="1">
      <alignment horizontal="left" vertical="top" wrapText="1"/>
    </xf>
    <xf numFmtId="164" fontId="8" fillId="0" borderId="32" xfId="42" applyNumberFormat="1" applyFont="1" applyFill="1" applyBorder="1" applyAlignment="1">
      <alignment horizontal="left" vertical="top" wrapText="1"/>
    </xf>
    <xf numFmtId="164" fontId="8" fillId="0" borderId="32" xfId="42" applyNumberFormat="1" applyFont="1" applyFill="1" applyBorder="1" applyAlignment="1">
      <alignment horizontal="left" vertical="top" wrapText="1"/>
    </xf>
    <xf numFmtId="43" fontId="5" fillId="0" borderId="19" xfId="46" applyNumberFormat="1" applyFont="1" applyFill="1" applyBorder="1" applyAlignment="1">
      <alignment horizontal="left" vertical="top" wrapText="1"/>
    </xf>
    <xf numFmtId="164" fontId="5" fillId="0" borderId="19" xfId="46" applyNumberFormat="1" applyFont="1" applyFill="1" applyBorder="1" applyAlignment="1">
      <alignment horizontal="left" vertical="top" wrapText="1"/>
    </xf>
    <xf numFmtId="164" fontId="5" fillId="0" borderId="36" xfId="46" applyNumberFormat="1" applyFont="1" applyFill="1" applyBorder="1" applyAlignment="1">
      <alignment horizontal="left" vertical="top" wrapText="1"/>
    </xf>
    <xf numFmtId="164" fontId="5" fillId="0" borderId="0" xfId="46" applyNumberFormat="1" applyFont="1" applyFill="1" applyBorder="1" applyAlignment="1">
      <alignment horizontal="left" vertical="top" wrapText="1"/>
    </xf>
    <xf numFmtId="43" fontId="5" fillId="0" borderId="0" xfId="46" applyNumberFormat="1" applyFont="1" applyFill="1" applyBorder="1" applyAlignment="1">
      <alignment horizontal="left" vertical="top" wrapText="1"/>
    </xf>
    <xf numFmtId="43" fontId="5" fillId="0" borderId="35" xfId="46" applyNumberFormat="1" applyFont="1" applyFill="1" applyBorder="1" applyAlignment="1">
      <alignment horizontal="left" vertical="top" wrapText="1"/>
    </xf>
    <xf numFmtId="164" fontId="5" fillId="0" borderId="33" xfId="42" applyNumberFormat="1" applyFont="1" applyFill="1" applyBorder="1" applyAlignment="1">
      <alignment horizontal="left" vertical="top" wrapText="1"/>
    </xf>
    <xf numFmtId="164" fontId="5" fillId="0" borderId="34" xfId="42" applyNumberFormat="1" applyFont="1" applyFill="1" applyBorder="1" applyAlignment="1">
      <alignment horizontal="left" vertical="top" wrapText="1"/>
    </xf>
    <xf numFmtId="164" fontId="5" fillId="0" borderId="0" xfId="42" applyNumberFormat="1" applyFont="1" applyFill="1" applyBorder="1" applyAlignment="1">
      <alignment horizontal="left"/>
    </xf>
    <xf numFmtId="164" fontId="8" fillId="0" borderId="25" xfId="42" applyNumberFormat="1" applyFont="1" applyFill="1" applyBorder="1" applyAlignment="1">
      <alignment horizontal="left" vertical="top" wrapText="1"/>
    </xf>
    <xf numFmtId="164" fontId="5" fillId="0" borderId="29" xfId="42" applyNumberFormat="1" applyFont="1" applyFill="1" applyBorder="1" applyAlignment="1">
      <alignment horizontal="left" vertical="top" wrapText="1"/>
    </xf>
    <xf numFmtId="0" fontId="6" fillId="0" borderId="0" xfId="0" applyFont="1" applyFill="1" applyBorder="1" applyAlignment="1">
      <alignment vertical="top" wrapText="1"/>
    </xf>
    <xf numFmtId="1" fontId="5" fillId="0" borderId="0" xfId="0" applyNumberFormat="1" applyFont="1" applyFill="1" applyAlignment="1">
      <alignment horizontal="center" vertical="top"/>
    </xf>
    <xf numFmtId="0" fontId="8" fillId="0" borderId="0" xfId="0" applyFont="1" applyFill="1" applyAlignment="1">
      <alignment/>
    </xf>
    <xf numFmtId="0" fontId="5" fillId="0" borderId="0" xfId="0" applyFont="1" applyFill="1" applyAlignment="1">
      <alignment/>
    </xf>
    <xf numFmtId="178" fontId="19" fillId="0" borderId="0" xfId="0" applyNumberFormat="1" applyFont="1" applyFill="1" applyAlignment="1">
      <alignment horizontal="left"/>
    </xf>
    <xf numFmtId="178" fontId="19" fillId="0" borderId="0" xfId="0" applyNumberFormat="1" applyFont="1" applyFill="1" applyAlignment="1" quotePrefix="1">
      <alignment/>
    </xf>
    <xf numFmtId="0" fontId="5" fillId="0" borderId="0" xfId="0" applyFont="1" applyFill="1" applyBorder="1" applyAlignment="1">
      <alignment horizontal="center"/>
    </xf>
    <xf numFmtId="0" fontId="5" fillId="0" borderId="0" xfId="0" applyFont="1" applyFill="1" applyBorder="1" applyAlignment="1">
      <alignment horizontal="center"/>
    </xf>
    <xf numFmtId="164" fontId="19" fillId="0" borderId="24" xfId="0" applyNumberFormat="1" applyFont="1" applyFill="1" applyBorder="1" applyAlignment="1">
      <alignment horizontal="center" vertical="top" wrapText="1"/>
    </xf>
    <xf numFmtId="164" fontId="19" fillId="0" borderId="24" xfId="0" applyNumberFormat="1" applyFont="1" applyFill="1" applyBorder="1" applyAlignment="1">
      <alignment vertical="top" wrapText="1"/>
    </xf>
    <xf numFmtId="43" fontId="5" fillId="0" borderId="19" xfId="0" applyNumberFormat="1" applyFont="1" applyFill="1" applyBorder="1" applyAlignment="1">
      <alignment horizontal="center"/>
    </xf>
    <xf numFmtId="43" fontId="5" fillId="0" borderId="36" xfId="0" applyNumberFormat="1" applyFont="1" applyFill="1" applyBorder="1" applyAlignment="1">
      <alignment horizontal="center"/>
    </xf>
    <xf numFmtId="0" fontId="8" fillId="0" borderId="35" xfId="0" applyFont="1" applyFill="1" applyBorder="1" applyAlignment="1">
      <alignment horizontal="center"/>
    </xf>
    <xf numFmtId="0" fontId="8" fillId="0" borderId="0" xfId="0" applyNumberFormat="1" applyFont="1" applyFill="1" applyBorder="1" applyAlignment="1">
      <alignment horizontal="center" vertical="top" wrapText="1"/>
    </xf>
    <xf numFmtId="164" fontId="19" fillId="0" borderId="21" xfId="42" applyNumberFormat="1" applyFont="1" applyFill="1" applyBorder="1" applyAlignment="1">
      <alignment horizontal="right" vertical="top" wrapText="1"/>
    </xf>
    <xf numFmtId="164" fontId="19" fillId="0" borderId="30" xfId="42" applyNumberFormat="1" applyFont="1" applyFill="1" applyBorder="1" applyAlignment="1">
      <alignment horizontal="right" vertical="top" wrapText="1"/>
    </xf>
    <xf numFmtId="164" fontId="19" fillId="0" borderId="0" xfId="42" applyNumberFormat="1" applyFont="1" applyFill="1" applyBorder="1" applyAlignment="1">
      <alignment horizontal="right" vertical="top" wrapText="1"/>
    </xf>
    <xf numFmtId="164" fontId="19" fillId="0" borderId="31" xfId="42" applyNumberFormat="1" applyFont="1" applyFill="1" applyBorder="1" applyAlignment="1">
      <alignment horizontal="center" vertical="top" wrapText="1"/>
    </xf>
    <xf numFmtId="164" fontId="19" fillId="0" borderId="25" xfId="42"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164" fontId="19" fillId="0" borderId="21" xfId="42" applyNumberFormat="1" applyFont="1" applyFill="1" applyBorder="1" applyAlignment="1">
      <alignment horizontal="center" vertical="top" wrapText="1"/>
    </xf>
    <xf numFmtId="164" fontId="19" fillId="0" borderId="30" xfId="42" applyNumberFormat="1" applyFont="1" applyFill="1" applyBorder="1" applyAlignment="1">
      <alignment horizontal="center" vertical="top" wrapText="1"/>
    </xf>
    <xf numFmtId="164" fontId="19" fillId="0" borderId="0" xfId="42"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7" fillId="0" borderId="0" xfId="0" applyFont="1" applyFill="1" applyBorder="1" applyAlignment="1">
      <alignment horizontal="justify" vertical="top" wrapText="1"/>
    </xf>
    <xf numFmtId="0" fontId="6" fillId="0" borderId="0" xfId="0" applyFont="1" applyFill="1" applyBorder="1" applyAlignment="1">
      <alignment/>
    </xf>
    <xf numFmtId="164" fontId="19" fillId="0" borderId="0" xfId="42" applyNumberFormat="1" applyFont="1" applyFill="1" applyBorder="1" applyAlignment="1">
      <alignment horizontal="left" vertical="top" wrapText="1"/>
    </xf>
    <xf numFmtId="0" fontId="19" fillId="0" borderId="0" xfId="0" applyFont="1" applyFill="1" applyBorder="1" applyAlignment="1">
      <alignment horizontal="left"/>
    </xf>
    <xf numFmtId="164" fontId="19" fillId="0" borderId="21" xfId="42" applyNumberFormat="1" applyFont="1" applyFill="1" applyBorder="1" applyAlignment="1">
      <alignment horizontal="left" vertical="top" wrapText="1"/>
    </xf>
    <xf numFmtId="0" fontId="6" fillId="0" borderId="0" xfId="0" applyFont="1" applyFill="1" applyAlignment="1">
      <alignment/>
    </xf>
    <xf numFmtId="164" fontId="19" fillId="0" borderId="32" xfId="42" applyNumberFormat="1" applyFont="1" applyFill="1" applyBorder="1" applyAlignment="1">
      <alignment horizontal="center" vertical="top" wrapText="1"/>
    </xf>
    <xf numFmtId="164" fontId="19" fillId="0" borderId="28" xfId="42" applyNumberFormat="1" applyFont="1" applyFill="1" applyBorder="1" applyAlignment="1">
      <alignment horizontal="center" vertical="top" wrapText="1"/>
    </xf>
    <xf numFmtId="164" fontId="19" fillId="0" borderId="20" xfId="42" applyNumberFormat="1" applyFont="1" applyFill="1" applyBorder="1" applyAlignment="1">
      <alignment horizontal="left" vertical="top" wrapText="1"/>
    </xf>
    <xf numFmtId="0" fontId="7" fillId="0" borderId="0" xfId="0" applyFont="1" applyFill="1" applyBorder="1" applyAlignment="1">
      <alignment horizontal="left"/>
    </xf>
    <xf numFmtId="0" fontId="5" fillId="0" borderId="0" xfId="0" applyFont="1" applyFill="1" applyBorder="1" applyAlignment="1">
      <alignment horizontal="left"/>
    </xf>
    <xf numFmtId="164" fontId="5" fillId="0" borderId="0" xfId="42" applyNumberFormat="1" applyFont="1" applyFill="1" applyAlignment="1">
      <alignment/>
    </xf>
    <xf numFmtId="164" fontId="5" fillId="0" borderId="24" xfId="0" applyNumberFormat="1" applyFont="1" applyFill="1" applyBorder="1" applyAlignment="1">
      <alignment horizontal="center"/>
    </xf>
    <xf numFmtId="164" fontId="5" fillId="0" borderId="19" xfId="0" applyNumberFormat="1" applyFont="1" applyFill="1" applyBorder="1" applyAlignment="1">
      <alignment horizontal="center"/>
    </xf>
    <xf numFmtId="164" fontId="45" fillId="0" borderId="24" xfId="0" applyNumberFormat="1" applyFont="1" applyFill="1" applyBorder="1" applyAlignment="1">
      <alignment horizontal="center"/>
    </xf>
    <xf numFmtId="164" fontId="45" fillId="0" borderId="19" xfId="0" applyNumberFormat="1" applyFont="1" applyFill="1" applyBorder="1" applyAlignment="1">
      <alignment horizontal="center"/>
    </xf>
    <xf numFmtId="0" fontId="5" fillId="0" borderId="24" xfId="0" applyFont="1" applyFill="1" applyBorder="1" applyAlignment="1">
      <alignment horizontal="center"/>
    </xf>
    <xf numFmtId="0" fontId="8" fillId="0" borderId="24" xfId="0" applyFont="1" applyFill="1" applyBorder="1" applyAlignment="1">
      <alignment horizontal="center"/>
    </xf>
    <xf numFmtId="0" fontId="19" fillId="0" borderId="36" xfId="0" applyFont="1" applyFill="1" applyBorder="1" applyAlignment="1">
      <alignment horizontal="center" vertical="top" wrapText="1"/>
    </xf>
    <xf numFmtId="0" fontId="8" fillId="0" borderId="39" xfId="0" applyFont="1" applyFill="1" applyBorder="1" applyAlignment="1">
      <alignment/>
    </xf>
    <xf numFmtId="0" fontId="8" fillId="0" borderId="31" xfId="0" applyFont="1" applyFill="1" applyBorder="1" applyAlignment="1">
      <alignment/>
    </xf>
    <xf numFmtId="0" fontId="8" fillId="0" borderId="40" xfId="0" applyFont="1" applyFill="1" applyBorder="1" applyAlignment="1">
      <alignment/>
    </xf>
    <xf numFmtId="0" fontId="46" fillId="0" borderId="0" xfId="0" applyFont="1" applyFill="1" applyAlignment="1">
      <alignment horizontal="center"/>
    </xf>
    <xf numFmtId="43" fontId="46" fillId="0" borderId="0" xfId="0" applyNumberFormat="1" applyFont="1" applyFill="1" applyAlignment="1">
      <alignment/>
    </xf>
    <xf numFmtId="43" fontId="47" fillId="0" borderId="24" xfId="0" applyNumberFormat="1" applyFont="1" applyFill="1" applyBorder="1" applyAlignment="1">
      <alignment/>
    </xf>
    <xf numFmtId="43" fontId="47" fillId="0" borderId="19" xfId="0" applyNumberFormat="1" applyFont="1" applyFill="1" applyBorder="1" applyAlignment="1">
      <alignment/>
    </xf>
    <xf numFmtId="43" fontId="45" fillId="0" borderId="24" xfId="0" applyNumberFormat="1" applyFont="1" applyFill="1" applyBorder="1" applyAlignment="1">
      <alignment horizontal="center"/>
    </xf>
    <xf numFmtId="43" fontId="45" fillId="0" borderId="19" xfId="0" applyNumberFormat="1" applyFont="1" applyFill="1" applyBorder="1" applyAlignment="1">
      <alignment horizontal="center"/>
    </xf>
    <xf numFmtId="0" fontId="45" fillId="0" borderId="0" xfId="0" applyFont="1" applyFill="1" applyBorder="1" applyAlignment="1">
      <alignment horizontal="center"/>
    </xf>
    <xf numFmtId="0" fontId="45" fillId="0" borderId="24" xfId="0" applyFont="1" applyFill="1" applyBorder="1" applyAlignment="1">
      <alignment horizontal="center"/>
    </xf>
    <xf numFmtId="0" fontId="45" fillId="0" borderId="26" xfId="0" applyFont="1" applyFill="1" applyBorder="1" applyAlignment="1">
      <alignment horizontal="center"/>
    </xf>
    <xf numFmtId="0" fontId="47" fillId="0" borderId="24" xfId="0" applyFont="1" applyFill="1" applyBorder="1" applyAlignment="1">
      <alignment horizontal="center"/>
    </xf>
    <xf numFmtId="0" fontId="47" fillId="0" borderId="24" xfId="0" applyFont="1" applyFill="1" applyBorder="1" applyAlignment="1">
      <alignment/>
    </xf>
    <xf numFmtId="164" fontId="5" fillId="0" borderId="13" xfId="42" applyNumberFormat="1" applyFont="1" applyBorder="1" applyAlignment="1">
      <alignment horizontal="left" vertical="top" wrapText="1"/>
    </xf>
    <xf numFmtId="164" fontId="46" fillId="0" borderId="0" xfId="0" applyNumberFormat="1" applyFont="1" applyFill="1" applyAlignment="1">
      <alignment/>
    </xf>
    <xf numFmtId="43" fontId="45" fillId="0" borderId="36" xfId="0" applyNumberFormat="1" applyFont="1" applyFill="1" applyBorder="1" applyAlignment="1">
      <alignment horizontal="center"/>
    </xf>
    <xf numFmtId="0" fontId="46" fillId="0" borderId="29" xfId="0" applyFont="1" applyFill="1" applyBorder="1" applyAlignment="1">
      <alignment horizontal="center"/>
    </xf>
    <xf numFmtId="164" fontId="8" fillId="0" borderId="16" xfId="0" applyNumberFormat="1" applyFont="1" applyBorder="1" applyAlignment="1">
      <alignment horizontal="center" vertical="top" wrapText="1"/>
    </xf>
    <xf numFmtId="0" fontId="15" fillId="0" borderId="0" xfId="0" applyFont="1" applyAlignment="1">
      <alignment horizontal="center"/>
    </xf>
    <xf numFmtId="0" fontId="21" fillId="0" borderId="41" xfId="0" applyFont="1" applyBorder="1" applyAlignment="1">
      <alignment horizontal="left" vertical="top" wrapText="1"/>
    </xf>
    <xf numFmtId="0" fontId="8" fillId="0" borderId="19" xfId="0" applyFont="1" applyFill="1" applyBorder="1" applyAlignment="1">
      <alignment horizontal="center" vertical="top" wrapText="1"/>
    </xf>
    <xf numFmtId="0" fontId="47" fillId="0" borderId="24" xfId="0" applyFont="1" applyFill="1" applyBorder="1" applyAlignment="1">
      <alignment horizontal="center" vertical="top" wrapText="1"/>
    </xf>
    <xf numFmtId="0" fontId="47" fillId="0" borderId="19" xfId="0" applyFont="1" applyFill="1" applyBorder="1" applyAlignment="1">
      <alignment horizontal="center" vertical="top" wrapText="1"/>
    </xf>
    <xf numFmtId="0" fontId="8" fillId="0" borderId="42" xfId="0" applyFont="1" applyFill="1" applyBorder="1" applyAlignment="1">
      <alignment horizontal="center" vertical="top" wrapText="1"/>
    </xf>
    <xf numFmtId="164" fontId="4" fillId="0" borderId="13" xfId="42" applyNumberFormat="1" applyFont="1" applyBorder="1" applyAlignment="1">
      <alignment horizontal="center" vertical="center" wrapText="1"/>
    </xf>
    <xf numFmtId="43" fontId="18" fillId="0" borderId="0" xfId="42" applyFont="1" applyAlignment="1">
      <alignment horizontal="center"/>
    </xf>
    <xf numFmtId="0" fontId="21" fillId="0" borderId="43" xfId="0" applyFont="1" applyBorder="1" applyAlignment="1">
      <alignment horizontal="center" vertical="top" wrapText="1"/>
    </xf>
    <xf numFmtId="0" fontId="21" fillId="0" borderId="44" xfId="0" applyFont="1" applyBorder="1" applyAlignment="1">
      <alignment horizontal="center" vertical="top" wrapText="1"/>
    </xf>
    <xf numFmtId="0" fontId="21" fillId="0" borderId="18" xfId="0" applyFont="1" applyBorder="1" applyAlignment="1">
      <alignment horizontal="center" vertical="top" wrapText="1"/>
    </xf>
    <xf numFmtId="0" fontId="6" fillId="0" borderId="0" xfId="0" applyFont="1" applyAlignment="1">
      <alignment horizontal="left"/>
    </xf>
    <xf numFmtId="0" fontId="6" fillId="0" borderId="0" xfId="0" applyFont="1" applyFill="1" applyBorder="1" applyAlignment="1">
      <alignment horizontal="center"/>
    </xf>
    <xf numFmtId="0" fontId="6" fillId="0" borderId="0" xfId="0" applyFont="1" applyAlignment="1">
      <alignment horizontal="center"/>
    </xf>
    <xf numFmtId="164" fontId="8" fillId="0" borderId="23" xfId="0" applyNumberFormat="1" applyFont="1" applyBorder="1" applyAlignment="1">
      <alignment horizontal="center" vertical="top" wrapText="1"/>
    </xf>
    <xf numFmtId="0" fontId="8" fillId="0" borderId="24" xfId="0" applyFont="1" applyFill="1" applyBorder="1" applyAlignment="1">
      <alignment horizontal="center" vertical="top" wrapText="1"/>
    </xf>
    <xf numFmtId="0" fontId="8" fillId="0" borderId="36" xfId="0" applyFont="1" applyFill="1" applyBorder="1" applyAlignment="1">
      <alignment horizontal="center" vertical="top" wrapText="1"/>
    </xf>
    <xf numFmtId="164" fontId="3" fillId="0" borderId="0" xfId="44" applyNumberFormat="1" applyFont="1" applyFill="1" applyAlignment="1">
      <alignment horizontal="left"/>
    </xf>
    <xf numFmtId="178" fontId="19" fillId="0" borderId="0" xfId="0" applyNumberFormat="1" applyFont="1" applyFill="1" applyBorder="1" applyAlignment="1">
      <alignment horizontal="left" wrapText="1"/>
    </xf>
    <xf numFmtId="178" fontId="19" fillId="0" borderId="10" xfId="0" applyNumberFormat="1" applyFont="1" applyFill="1" applyBorder="1" applyAlignment="1">
      <alignment horizontal="left" wrapText="1"/>
    </xf>
    <xf numFmtId="164" fontId="26" fillId="0" borderId="0" xfId="44" applyNumberFormat="1" applyFont="1" applyFill="1" applyAlignment="1">
      <alignment horizontal="center" vertical="center"/>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178" fontId="19" fillId="0" borderId="0" xfId="0" applyNumberFormat="1" applyFont="1" applyFill="1" applyBorder="1" applyAlignment="1">
      <alignment horizontal="left" wrapText="1"/>
    </xf>
    <xf numFmtId="178" fontId="19" fillId="0" borderId="10" xfId="0" applyNumberFormat="1" applyFont="1" applyFill="1" applyBorder="1" applyAlignment="1">
      <alignment horizontal="left" wrapText="1"/>
    </xf>
    <xf numFmtId="178" fontId="19"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26" fillId="0" borderId="0" xfId="0" applyFont="1" applyFill="1" applyBorder="1" applyAlignment="1">
      <alignment horizontal="center" vertical="center" wrapText="1"/>
    </xf>
    <xf numFmtId="164" fontId="26" fillId="0" borderId="0" xfId="42" applyNumberFormat="1" applyFont="1" applyFill="1" applyBorder="1" applyAlignment="1">
      <alignment horizontal="center" vertical="center" wrapText="1"/>
    </xf>
    <xf numFmtId="164" fontId="26" fillId="0" borderId="0" xfId="42" applyNumberFormat="1" applyFont="1" applyFill="1" applyBorder="1" applyAlignment="1">
      <alignment horizontal="center" vertical="center"/>
    </xf>
    <xf numFmtId="0" fontId="8" fillId="0" borderId="0" xfId="0" applyFont="1" applyFill="1" applyBorder="1" applyAlignment="1">
      <alignment horizontal="center" vertical="top" wrapText="1"/>
    </xf>
    <xf numFmtId="178" fontId="19"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8" fillId="0" borderId="24" xfId="0" applyFont="1" applyFill="1" applyBorder="1" applyAlignment="1">
      <alignment horizontal="center" vertical="top" wrapText="1"/>
    </xf>
    <xf numFmtId="0" fontId="8" fillId="0" borderId="36" xfId="0" applyFont="1" applyFill="1" applyBorder="1" applyAlignment="1">
      <alignment horizontal="center" vertical="top" wrapText="1"/>
    </xf>
    <xf numFmtId="0" fontId="21" fillId="0" borderId="23" xfId="0" applyFont="1" applyBorder="1" applyAlignment="1">
      <alignment horizontal="left" vertical="top" wrapText="1"/>
    </xf>
    <xf numFmtId="0" fontId="21" fillId="0" borderId="4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46" xfId="0" applyFont="1" applyBorder="1" applyAlignment="1">
      <alignment horizontal="left" vertical="top" wrapText="1"/>
    </xf>
    <xf numFmtId="0" fontId="21" fillId="0" borderId="23" xfId="0" applyFont="1" applyBorder="1" applyAlignment="1">
      <alignment horizontal="center" vertical="top" wrapText="1"/>
    </xf>
    <xf numFmtId="0" fontId="21" fillId="0" borderId="0" xfId="0" applyFont="1" applyBorder="1" applyAlignment="1">
      <alignment horizontal="center" vertical="top" wrapText="1"/>
    </xf>
    <xf numFmtId="0" fontId="21" fillId="0" borderId="46" xfId="0" applyFont="1" applyBorder="1" applyAlignment="1">
      <alignment horizontal="center" vertical="top" wrapText="1"/>
    </xf>
    <xf numFmtId="164" fontId="12" fillId="0" borderId="0" xfId="0" applyNumberFormat="1" applyFont="1" applyAlignment="1">
      <alignment horizontal="center"/>
    </xf>
    <xf numFmtId="164" fontId="0" fillId="0" borderId="0" xfId="42" applyNumberFormat="1" applyFont="1" applyAlignment="1">
      <alignment horizontal="center"/>
    </xf>
    <xf numFmtId="164" fontId="12" fillId="0" borderId="0" xfId="42" applyNumberFormat="1" applyFont="1" applyAlignment="1">
      <alignment horizontal="center"/>
    </xf>
    <xf numFmtId="0" fontId="12" fillId="0" borderId="24" xfId="0" applyFont="1" applyBorder="1" applyAlignment="1">
      <alignment horizontal="center" vertical="top" wrapText="1"/>
    </xf>
    <xf numFmtId="0" fontId="12" fillId="0" borderId="19" xfId="0" applyFont="1" applyBorder="1" applyAlignment="1">
      <alignment horizontal="center" vertical="top" wrapText="1"/>
    </xf>
    <xf numFmtId="164" fontId="12" fillId="0" borderId="21" xfId="42" applyNumberFormat="1" applyFont="1" applyBorder="1" applyAlignment="1">
      <alignment horizontal="center" vertical="top"/>
    </xf>
    <xf numFmtId="164" fontId="12" fillId="0" borderId="19" xfId="42" applyNumberFormat="1" applyFont="1" applyBorder="1" applyAlignment="1">
      <alignment horizontal="center" vertical="top"/>
    </xf>
    <xf numFmtId="0" fontId="0" fillId="0" borderId="0" xfId="0" applyAlignment="1">
      <alignment horizontal="center"/>
    </xf>
    <xf numFmtId="0" fontId="1" fillId="0" borderId="0" xfId="61" applyAlignment="1">
      <alignment horizontal="justify" vertical="top"/>
      <protection/>
    </xf>
    <xf numFmtId="0" fontId="2" fillId="0" borderId="16" xfId="61" applyFont="1" applyBorder="1" applyAlignment="1">
      <alignment horizontal="right"/>
      <protection/>
    </xf>
    <xf numFmtId="0" fontId="1" fillId="0" borderId="0" xfId="61" applyFont="1" applyAlignment="1">
      <alignment horizontal="justify" vertical="top" wrapText="1"/>
      <protection/>
    </xf>
    <xf numFmtId="0" fontId="1" fillId="0" borderId="0" xfId="61" applyFont="1" applyAlignment="1">
      <alignment horizontal="left" vertical="top" wrapText="1"/>
      <protection/>
    </xf>
    <xf numFmtId="0" fontId="1" fillId="0" borderId="0" xfId="61" applyAlignment="1">
      <alignment horizontal="left" vertical="top" wrapText="1"/>
      <protection/>
    </xf>
    <xf numFmtId="0" fontId="1" fillId="0" borderId="0" xfId="61" applyAlignment="1">
      <alignment horizontal="justify" vertical="top" wrapText="1"/>
      <protection/>
    </xf>
    <xf numFmtId="0" fontId="1" fillId="0" borderId="0" xfId="61" applyFont="1" applyAlignment="1">
      <alignment horizontal="left" vertical="top"/>
      <protection/>
    </xf>
    <xf numFmtId="0" fontId="1" fillId="0" borderId="0" xfId="61" applyFont="1" applyAlignment="1" quotePrefix="1">
      <alignment horizontal="justify" vertical="top"/>
      <protection/>
    </xf>
    <xf numFmtId="0" fontId="1" fillId="0" borderId="0" xfId="61" applyAlignment="1" quotePrefix="1">
      <alignment horizontal="justify" vertical="top" wrapText="1"/>
      <protection/>
    </xf>
    <xf numFmtId="0" fontId="9" fillId="0" borderId="0" xfId="61" applyFont="1" applyAlignment="1">
      <alignment horizontal="left"/>
      <protection/>
    </xf>
    <xf numFmtId="0" fontId="10" fillId="0" borderId="0" xfId="61" applyFont="1" applyAlignment="1">
      <alignment horizontal="left"/>
      <protection/>
    </xf>
    <xf numFmtId="0" fontId="1" fillId="0" borderId="0" xfId="61" applyFont="1" applyAlignment="1">
      <alignment horizontal="justify" vertical="top"/>
      <protection/>
    </xf>
    <xf numFmtId="0" fontId="9" fillId="0" borderId="0" xfId="61" applyFont="1" applyFill="1" applyAlignment="1">
      <alignment horizontal="left"/>
      <protection/>
    </xf>
    <xf numFmtId="0" fontId="9" fillId="0" borderId="0" xfId="61" applyFont="1" applyAlignment="1">
      <alignment horizontal="left" vertical="top" wrapText="1"/>
      <protection/>
    </xf>
    <xf numFmtId="164" fontId="4" fillId="0" borderId="46" xfId="42" applyNumberFormat="1" applyFont="1" applyFill="1"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108</xdr:row>
      <xdr:rowOff>0</xdr:rowOff>
    </xdr:from>
    <xdr:ext cx="76200" cy="38100"/>
    <xdr:sp fLocksText="0">
      <xdr:nvSpPr>
        <xdr:cNvPr id="1" name="Text Box 1"/>
        <xdr:cNvSpPr txBox="1">
          <a:spLocks noChangeArrowheads="1"/>
        </xdr:cNvSpPr>
      </xdr:nvSpPr>
      <xdr:spPr>
        <a:xfrm>
          <a:off x="7477125" y="195453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108</xdr:row>
      <xdr:rowOff>0</xdr:rowOff>
    </xdr:from>
    <xdr:ext cx="76200" cy="38100"/>
    <xdr:sp fLocksText="0">
      <xdr:nvSpPr>
        <xdr:cNvPr id="2" name="Text Box 412"/>
        <xdr:cNvSpPr txBox="1">
          <a:spLocks noChangeArrowheads="1"/>
        </xdr:cNvSpPr>
      </xdr:nvSpPr>
      <xdr:spPr>
        <a:xfrm>
          <a:off x="7477125" y="1954530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l%20balance%20sheets\FINAL%2031.07.2013\DTTDC%20FINAL\CONSOLIDATION%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TTDC1\My%20Documents\Downloads\Balance%20Sheets\Tourism%20Divi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Profit &amp; Loss"/>
      <sheetName val="Balance sheet (2)"/>
      <sheetName val="Note A"/>
      <sheetName val="Note B"/>
      <sheetName val="NOTE 1"/>
      <sheetName val="NOTE C"/>
      <sheetName val="NOTE D"/>
      <sheetName val="NOTE 2"/>
      <sheetName val="NOTE E"/>
      <sheetName val="Note F"/>
      <sheetName val="NOTE G"/>
      <sheetName val="Sheet2"/>
      <sheetName val="Note H"/>
      <sheetName val="NOTE I"/>
      <sheetName val="NOTE J"/>
      <sheetName val="NOTE k"/>
      <sheetName val="NOTE L"/>
      <sheetName val="NOTE M"/>
      <sheetName val="NOTE N"/>
      <sheetName val="note O"/>
      <sheetName val="NOTE p"/>
      <sheetName val="Note Q-R-S"/>
      <sheetName val="NOTE T"/>
      <sheetName val="note U"/>
      <sheetName val="NOTE V"/>
      <sheetName val="NOTE W"/>
      <sheetName val="Sheet1"/>
      <sheetName val="10(a"/>
      <sheetName val="bprofile"/>
    </sheetNames>
    <sheetDataSet>
      <sheetData sheetId="4">
        <row r="39">
          <cell r="K39">
            <v>-29451053</v>
          </cell>
        </row>
      </sheetData>
      <sheetData sheetId="5">
        <row r="27">
          <cell r="M27">
            <v>0</v>
          </cell>
        </row>
      </sheetData>
      <sheetData sheetId="6">
        <row r="18">
          <cell r="I18">
            <v>311800</v>
          </cell>
        </row>
      </sheetData>
      <sheetData sheetId="7">
        <row r="12">
          <cell r="L12">
            <v>0</v>
          </cell>
        </row>
      </sheetData>
      <sheetData sheetId="8">
        <row r="14">
          <cell r="J14">
            <v>0</v>
          </cell>
        </row>
      </sheetData>
      <sheetData sheetId="9">
        <row r="10">
          <cell r="H10">
            <v>0</v>
          </cell>
        </row>
      </sheetData>
      <sheetData sheetId="10">
        <row r="27">
          <cell r="I27">
            <v>26525739</v>
          </cell>
        </row>
      </sheetData>
      <sheetData sheetId="11">
        <row r="14">
          <cell r="J14">
            <v>0</v>
          </cell>
        </row>
      </sheetData>
      <sheetData sheetId="12">
        <row r="13">
          <cell r="G13">
            <v>0</v>
          </cell>
        </row>
      </sheetData>
      <sheetData sheetId="14">
        <row r="57">
          <cell r="F57">
            <v>1957104</v>
          </cell>
        </row>
      </sheetData>
      <sheetData sheetId="15">
        <row r="34">
          <cell r="H34">
            <v>28500</v>
          </cell>
        </row>
      </sheetData>
      <sheetData sheetId="18">
        <row r="22">
          <cell r="G22">
            <v>8512489</v>
          </cell>
        </row>
      </sheetData>
      <sheetData sheetId="19">
        <row r="16">
          <cell r="K16">
            <v>2826865</v>
          </cell>
        </row>
      </sheetData>
      <sheetData sheetId="20">
        <row r="36">
          <cell r="H36">
            <v>83844</v>
          </cell>
        </row>
      </sheetData>
      <sheetData sheetId="21">
        <row r="15">
          <cell r="I15">
            <v>5724544</v>
          </cell>
        </row>
      </sheetData>
      <sheetData sheetId="22">
        <row r="36">
          <cell r="G36">
            <v>13700087</v>
          </cell>
        </row>
        <row r="65">
          <cell r="G65">
            <v>9537085</v>
          </cell>
        </row>
      </sheetData>
      <sheetData sheetId="25">
        <row r="28">
          <cell r="F28">
            <v>8858638</v>
          </cell>
        </row>
      </sheetData>
      <sheetData sheetId="26">
        <row r="45">
          <cell r="F45">
            <v>12115218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Profit &amp; Loss"/>
      <sheetName val="Note A"/>
      <sheetName val="Note B-C"/>
      <sheetName val="Sub Schedules"/>
      <sheetName val="Note J-K"/>
      <sheetName val="Sheet1"/>
      <sheetName val="10(a"/>
      <sheetName val="bprofile"/>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AH79"/>
  <sheetViews>
    <sheetView tabSelected="1" zoomScaleSheetLayoutView="100" workbookViewId="0" topLeftCell="A1">
      <selection activeCell="A4" sqref="A4"/>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s="266" customFormat="1" ht="12.75">
      <c r="B2" s="264" t="s">
        <v>184</v>
      </c>
      <c r="C2" s="265"/>
      <c r="H2" s="267"/>
      <c r="I2" s="267"/>
      <c r="J2" s="268"/>
      <c r="K2" s="268"/>
      <c r="L2" s="269"/>
      <c r="M2" s="269"/>
      <c r="Q2" s="390"/>
      <c r="R2" s="390"/>
      <c r="S2" s="390"/>
      <c r="T2" s="390"/>
      <c r="U2" s="390"/>
      <c r="V2" s="390"/>
      <c r="W2" s="390"/>
      <c r="X2" s="390"/>
      <c r="Y2" s="390"/>
      <c r="Z2" s="390"/>
      <c r="AA2" s="390"/>
    </row>
    <row r="3" spans="2:27" s="266" customFormat="1" ht="12.75">
      <c r="B3" s="264" t="s">
        <v>328</v>
      </c>
      <c r="C3" s="265"/>
      <c r="H3" s="267"/>
      <c r="I3" s="270"/>
      <c r="J3" s="268"/>
      <c r="K3" s="187"/>
      <c r="L3" s="269"/>
      <c r="M3" s="186"/>
      <c r="O3" s="264"/>
      <c r="Q3" s="395"/>
      <c r="R3" s="390"/>
      <c r="S3" s="395"/>
      <c r="T3" s="395"/>
      <c r="U3" s="395"/>
      <c r="V3" s="395"/>
      <c r="W3" s="390"/>
      <c r="X3" s="390"/>
      <c r="Y3" s="395"/>
      <c r="Z3" s="390"/>
      <c r="AA3" s="395"/>
    </row>
    <row r="4" spans="2:30" s="266" customFormat="1" ht="12.75">
      <c r="B4" s="264"/>
      <c r="C4" s="265"/>
      <c r="H4" s="267"/>
      <c r="I4" s="507" t="s">
        <v>325</v>
      </c>
      <c r="J4" s="508" t="s">
        <v>324</v>
      </c>
      <c r="K4" s="507" t="s">
        <v>399</v>
      </c>
      <c r="L4" s="187" t="s">
        <v>324</v>
      </c>
      <c r="M4" s="508" t="s">
        <v>400</v>
      </c>
      <c r="N4" s="264" t="s">
        <v>324</v>
      </c>
      <c r="O4" s="508" t="s">
        <v>401</v>
      </c>
      <c r="P4" s="264" t="s">
        <v>324</v>
      </c>
      <c r="Q4" s="409"/>
      <c r="R4" s="395"/>
      <c r="S4" s="409"/>
      <c r="T4" s="395"/>
      <c r="U4" s="395"/>
      <c r="V4" s="395"/>
      <c r="W4" s="395"/>
      <c r="X4" s="395"/>
      <c r="Y4" s="395"/>
      <c r="Z4" s="395"/>
      <c r="AA4" s="395"/>
      <c r="AB4" s="264" t="s">
        <v>300</v>
      </c>
      <c r="AC4" s="271"/>
      <c r="AD4" s="272"/>
    </row>
    <row r="5" spans="2:31" ht="15" customHeight="1">
      <c r="B5" s="273" t="s">
        <v>216</v>
      </c>
      <c r="C5" s="274"/>
      <c r="D5" s="274"/>
      <c r="E5" s="274"/>
      <c r="F5" s="274"/>
      <c r="G5" s="274"/>
      <c r="H5" s="275" t="s">
        <v>388</v>
      </c>
      <c r="I5" s="509" t="s">
        <v>318</v>
      </c>
      <c r="J5" s="509" t="s">
        <v>318</v>
      </c>
      <c r="K5" s="509" t="s">
        <v>318</v>
      </c>
      <c r="L5" s="276" t="s">
        <v>319</v>
      </c>
      <c r="M5" s="509" t="s">
        <v>318</v>
      </c>
      <c r="N5" s="538" t="s">
        <v>320</v>
      </c>
      <c r="O5" s="509" t="s">
        <v>318</v>
      </c>
      <c r="P5" s="538" t="s">
        <v>205</v>
      </c>
      <c r="Q5" s="410"/>
      <c r="R5" s="410"/>
      <c r="S5" s="379"/>
      <c r="T5" s="379"/>
      <c r="U5" s="379"/>
      <c r="V5" s="379"/>
      <c r="W5" s="379"/>
      <c r="X5" s="379"/>
      <c r="Y5" s="379"/>
      <c r="Z5" s="379"/>
      <c r="AA5" s="379"/>
      <c r="AB5" s="277" t="s">
        <v>387</v>
      </c>
      <c r="AC5" s="278" t="s">
        <v>327</v>
      </c>
      <c r="AD5" s="278" t="s">
        <v>185</v>
      </c>
      <c r="AE5" s="279" t="s">
        <v>186</v>
      </c>
    </row>
    <row r="6" spans="2:31" ht="15" customHeight="1">
      <c r="B6" s="280"/>
      <c r="C6" s="281"/>
      <c r="D6" s="281"/>
      <c r="E6" s="281"/>
      <c r="F6" s="281"/>
      <c r="G6" s="281"/>
      <c r="H6" s="282"/>
      <c r="I6" s="510" t="s">
        <v>321</v>
      </c>
      <c r="J6" s="510" t="s">
        <v>321</v>
      </c>
      <c r="K6" s="510" t="s">
        <v>321</v>
      </c>
      <c r="L6" s="283" t="s">
        <v>322</v>
      </c>
      <c r="M6" s="510" t="s">
        <v>321</v>
      </c>
      <c r="N6" s="544"/>
      <c r="O6" s="510" t="s">
        <v>321</v>
      </c>
      <c r="P6" s="539"/>
      <c r="Q6" s="411"/>
      <c r="R6" s="411"/>
      <c r="S6" s="412"/>
      <c r="T6" s="412"/>
      <c r="U6" s="412"/>
      <c r="V6" s="412"/>
      <c r="W6" s="412"/>
      <c r="X6" s="412"/>
      <c r="Y6" s="412"/>
      <c r="Z6" s="412"/>
      <c r="AA6" s="412"/>
      <c r="AB6" s="403"/>
      <c r="AC6" s="244" t="s">
        <v>187</v>
      </c>
      <c r="AD6" s="244" t="s">
        <v>187</v>
      </c>
      <c r="AE6" s="284" t="s">
        <v>187</v>
      </c>
    </row>
    <row r="7" spans="2:29" ht="15">
      <c r="B7" s="285" t="s">
        <v>221</v>
      </c>
      <c r="C7" s="286" t="s">
        <v>239</v>
      </c>
      <c r="D7" s="176"/>
      <c r="E7" s="176"/>
      <c r="F7" s="176"/>
      <c r="G7" s="287"/>
      <c r="H7" s="288"/>
      <c r="I7" s="288"/>
      <c r="J7" s="289"/>
      <c r="K7" s="289"/>
      <c r="L7" s="290"/>
      <c r="M7" s="290"/>
      <c r="N7" s="289"/>
      <c r="O7" s="289"/>
      <c r="P7" s="290"/>
      <c r="Q7" s="290"/>
      <c r="R7" s="289"/>
      <c r="S7" s="289"/>
      <c r="T7" s="290"/>
      <c r="U7" s="290"/>
      <c r="V7" s="289"/>
      <c r="W7" s="289"/>
      <c r="X7" s="290"/>
      <c r="Y7" s="290"/>
      <c r="Z7" s="289"/>
      <c r="AA7" s="289"/>
      <c r="AB7" s="290"/>
      <c r="AC7" s="290"/>
    </row>
    <row r="8" spans="2:29" ht="15">
      <c r="B8" s="291"/>
      <c r="C8" s="246">
        <v>-1</v>
      </c>
      <c r="D8" s="176" t="s">
        <v>331</v>
      </c>
      <c r="E8" s="188"/>
      <c r="F8" s="188"/>
      <c r="G8" s="292"/>
      <c r="H8" s="293"/>
      <c r="I8" s="293"/>
      <c r="J8" s="294"/>
      <c r="K8" s="294"/>
      <c r="L8" s="295"/>
      <c r="M8" s="295"/>
      <c r="N8" s="294"/>
      <c r="O8" s="294"/>
      <c r="P8" s="295"/>
      <c r="Q8" s="295"/>
      <c r="R8" s="294"/>
      <c r="S8" s="294"/>
      <c r="T8" s="295"/>
      <c r="U8" s="295"/>
      <c r="V8" s="294"/>
      <c r="W8" s="294"/>
      <c r="X8" s="295"/>
      <c r="Y8" s="295"/>
      <c r="Z8" s="294"/>
      <c r="AA8" s="294"/>
      <c r="AB8" s="295"/>
      <c r="AC8" s="295"/>
    </row>
    <row r="9" spans="2:31" ht="15.75">
      <c r="B9" s="291"/>
      <c r="C9" s="296"/>
      <c r="D9" s="291" t="s">
        <v>241</v>
      </c>
      <c r="E9" s="297" t="s">
        <v>332</v>
      </c>
      <c r="F9" s="297"/>
      <c r="G9" s="297"/>
      <c r="H9" s="298" t="s">
        <v>146</v>
      </c>
      <c r="I9" s="298"/>
      <c r="J9" s="299">
        <v>0</v>
      </c>
      <c r="K9" s="299"/>
      <c r="L9" s="299">
        <v>0</v>
      </c>
      <c r="M9" s="299"/>
      <c r="N9" s="299">
        <v>0</v>
      </c>
      <c r="O9" s="299"/>
      <c r="P9" s="299">
        <v>0</v>
      </c>
      <c r="Q9" s="299"/>
      <c r="R9" s="299"/>
      <c r="S9" s="299"/>
      <c r="T9" s="299"/>
      <c r="U9" s="299"/>
      <c r="V9" s="299"/>
      <c r="W9" s="299"/>
      <c r="X9" s="299"/>
      <c r="Y9" s="299"/>
      <c r="Z9" s="299"/>
      <c r="AA9" s="299"/>
      <c r="AB9" s="299">
        <v>0</v>
      </c>
      <c r="AC9" s="299">
        <f aca="true" t="shared" si="0" ref="AC9:AD11">I9+K9+M9+O9+Q9+S9+U9+Y9+AA9+W9</f>
        <v>0</v>
      </c>
      <c r="AD9" s="299">
        <f t="shared" si="0"/>
        <v>0</v>
      </c>
      <c r="AE9" s="190">
        <v>62825100</v>
      </c>
    </row>
    <row r="10" spans="2:32" ht="15.75">
      <c r="B10" s="291"/>
      <c r="C10" s="296"/>
      <c r="D10" s="291" t="s">
        <v>242</v>
      </c>
      <c r="E10" s="297" t="s">
        <v>333</v>
      </c>
      <c r="F10" s="297"/>
      <c r="G10" s="297"/>
      <c r="H10" s="298" t="s">
        <v>147</v>
      </c>
      <c r="I10" s="298">
        <v>-29186084</v>
      </c>
      <c r="J10" s="299">
        <f>'[1]Note B'!K39</f>
        <v>-29451053</v>
      </c>
      <c r="K10" s="299">
        <v>-29927747.22</v>
      </c>
      <c r="L10" s="299" t="e">
        <f>#REF!</f>
        <v>#REF!</v>
      </c>
      <c r="M10" s="299">
        <v>-27261457</v>
      </c>
      <c r="N10" s="299" t="e">
        <f>#REF!</f>
        <v>#REF!</v>
      </c>
      <c r="O10" s="299">
        <v>-24428188</v>
      </c>
      <c r="P10" s="299" t="e">
        <f>#REF!</f>
        <v>#REF!</v>
      </c>
      <c r="Q10" s="299"/>
      <c r="R10" s="299"/>
      <c r="S10" s="299"/>
      <c r="T10" s="299"/>
      <c r="U10" s="299"/>
      <c r="V10" s="299"/>
      <c r="W10" s="299"/>
      <c r="X10" s="299"/>
      <c r="Y10" s="299"/>
      <c r="Z10" s="299"/>
      <c r="AA10" s="299"/>
      <c r="AB10" s="299" t="e">
        <f>#REF!</f>
        <v>#REF!</v>
      </c>
      <c r="AC10" s="299">
        <f>I10+K10+M10+O10+Q10+S10+U10+Y10+AA10+W10+1</f>
        <v>-110803475.22</v>
      </c>
      <c r="AD10" s="299" t="e">
        <f t="shared" si="0"/>
        <v>#REF!</v>
      </c>
      <c r="AE10" s="190" t="e">
        <f>#REF!</f>
        <v>#REF!</v>
      </c>
      <c r="AF10" s="185"/>
    </row>
    <row r="11" spans="2:32" s="266" customFormat="1" ht="15.75">
      <c r="B11" s="291"/>
      <c r="C11" s="300"/>
      <c r="D11" s="301"/>
      <c r="E11" s="302"/>
      <c r="F11" s="302"/>
      <c r="G11" s="303" t="s">
        <v>389</v>
      </c>
      <c r="H11" s="288"/>
      <c r="I11" s="304">
        <v>-29186084</v>
      </c>
      <c r="J11" s="304">
        <f>SUM(J9:J10)</f>
        <v>-29451053</v>
      </c>
      <c r="K11" s="304">
        <f>SUM(K9:K10)</f>
        <v>-29927747.22</v>
      </c>
      <c r="L11" s="304" t="e">
        <f>SUM(L9:L10)</f>
        <v>#REF!</v>
      </c>
      <c r="M11" s="304">
        <f>+M9+M10</f>
        <v>-27261457</v>
      </c>
      <c r="N11" s="304" t="e">
        <f>+N9+N10</f>
        <v>#REF!</v>
      </c>
      <c r="O11" s="304">
        <f>SUM(O9:O10)</f>
        <v>-24428188</v>
      </c>
      <c r="P11" s="305" t="e">
        <f>SUM(P9:P10)</f>
        <v>#REF!</v>
      </c>
      <c r="Q11" s="413"/>
      <c r="R11" s="413"/>
      <c r="S11" s="413"/>
      <c r="T11" s="413"/>
      <c r="U11" s="413"/>
      <c r="V11" s="413"/>
      <c r="W11" s="413"/>
      <c r="X11" s="413"/>
      <c r="Y11" s="413"/>
      <c r="Z11" s="413"/>
      <c r="AA11" s="413"/>
      <c r="AB11" s="404" t="e">
        <f>+AB9+AB10</f>
        <v>#REF!</v>
      </c>
      <c r="AC11" s="306">
        <f>I11+K11+M11+O11+Q11+S11+U11+Y11+AA11+W11+1</f>
        <v>-110803475.22</v>
      </c>
      <c r="AD11" s="307" t="e">
        <f t="shared" si="0"/>
        <v>#REF!</v>
      </c>
      <c r="AE11" s="308" t="e">
        <f>+AE9+AE10</f>
        <v>#REF!</v>
      </c>
      <c r="AF11" s="186"/>
    </row>
    <row r="12" spans="2:31" ht="15.75" hidden="1">
      <c r="B12" s="302"/>
      <c r="C12" s="247">
        <v>-2</v>
      </c>
      <c r="D12" s="248" t="s">
        <v>247</v>
      </c>
      <c r="E12" s="248"/>
      <c r="F12" s="225"/>
      <c r="G12" s="292"/>
      <c r="H12" s="293"/>
      <c r="I12" s="293"/>
      <c r="J12" s="309">
        <v>0</v>
      </c>
      <c r="K12" s="309"/>
      <c r="L12" s="309">
        <v>0</v>
      </c>
      <c r="M12" s="309"/>
      <c r="N12" s="309"/>
      <c r="O12" s="309"/>
      <c r="P12" s="309"/>
      <c r="Q12" s="309"/>
      <c r="R12" s="309"/>
      <c r="S12" s="309"/>
      <c r="T12" s="309"/>
      <c r="U12" s="309"/>
      <c r="V12" s="309"/>
      <c r="W12" s="309"/>
      <c r="X12" s="309"/>
      <c r="Y12" s="309"/>
      <c r="Z12" s="309"/>
      <c r="AA12" s="309"/>
      <c r="AB12" s="309"/>
      <c r="AC12" s="309"/>
      <c r="AD12" s="309">
        <v>0</v>
      </c>
      <c r="AE12" s="310">
        <v>0</v>
      </c>
    </row>
    <row r="13" spans="2:31" ht="15.75" hidden="1">
      <c r="B13" s="291"/>
      <c r="C13" s="296"/>
      <c r="D13" s="291"/>
      <c r="E13" s="291"/>
      <c r="F13" s="291"/>
      <c r="G13" s="311" t="s">
        <v>294</v>
      </c>
      <c r="H13" s="312"/>
      <c r="I13" s="312"/>
      <c r="J13" s="313">
        <f>SUM(J12)</f>
        <v>0</v>
      </c>
      <c r="K13" s="313"/>
      <c r="L13" s="313">
        <f>SUM(L12)</f>
        <v>0</v>
      </c>
      <c r="M13" s="313"/>
      <c r="N13" s="313"/>
      <c r="O13" s="313"/>
      <c r="P13" s="313"/>
      <c r="Q13" s="313"/>
      <c r="R13" s="313"/>
      <c r="S13" s="313"/>
      <c r="T13" s="313"/>
      <c r="U13" s="313"/>
      <c r="V13" s="313"/>
      <c r="W13" s="313"/>
      <c r="X13" s="313"/>
      <c r="Y13" s="313"/>
      <c r="Z13" s="313"/>
      <c r="AA13" s="313"/>
      <c r="AB13" s="313"/>
      <c r="AC13" s="313"/>
      <c r="AD13" s="314">
        <v>0</v>
      </c>
      <c r="AE13" s="315">
        <v>0</v>
      </c>
    </row>
    <row r="14" spans="2:31" ht="15.75">
      <c r="B14" s="291"/>
      <c r="C14" s="250">
        <v>-2</v>
      </c>
      <c r="D14" s="32" t="s">
        <v>334</v>
      </c>
      <c r="E14" s="32"/>
      <c r="F14" s="297"/>
      <c r="G14" s="316"/>
      <c r="H14" s="312"/>
      <c r="I14" s="312"/>
      <c r="J14" s="159"/>
      <c r="K14" s="159"/>
      <c r="L14" s="159"/>
      <c r="M14" s="159"/>
      <c r="N14" s="159"/>
      <c r="O14" s="159"/>
      <c r="P14" s="159"/>
      <c r="Q14" s="159"/>
      <c r="R14" s="159"/>
      <c r="S14" s="159"/>
      <c r="T14" s="159"/>
      <c r="U14" s="159"/>
      <c r="V14" s="159"/>
      <c r="W14" s="159"/>
      <c r="X14" s="159"/>
      <c r="Y14" s="159"/>
      <c r="Z14" s="159"/>
      <c r="AA14" s="159"/>
      <c r="AB14" s="159"/>
      <c r="AC14" s="159"/>
      <c r="AD14" s="159"/>
      <c r="AE14" s="317"/>
    </row>
    <row r="15" spans="2:31" ht="15.75" hidden="1">
      <c r="B15" s="291"/>
      <c r="C15" s="297"/>
      <c r="D15" s="249" t="s">
        <v>241</v>
      </c>
      <c r="E15" s="297" t="s">
        <v>249</v>
      </c>
      <c r="F15" s="297"/>
      <c r="G15" s="318"/>
      <c r="H15" s="312" t="s">
        <v>165</v>
      </c>
      <c r="I15" s="312"/>
      <c r="J15" s="159">
        <f>'[1]NOTE 1'!M27</f>
        <v>0</v>
      </c>
      <c r="K15" s="159"/>
      <c r="L15" s="159">
        <f>'NOTE 1'!Q27</f>
        <v>0</v>
      </c>
      <c r="M15" s="159"/>
      <c r="N15" s="159">
        <f>'NOTE 1'!U27</f>
        <v>0</v>
      </c>
      <c r="O15" s="159"/>
      <c r="P15" s="159">
        <f>'NOTE 1'!Y27</f>
        <v>0</v>
      </c>
      <c r="Q15" s="159"/>
      <c r="R15" s="159"/>
      <c r="S15" s="159"/>
      <c r="T15" s="159"/>
      <c r="U15" s="159"/>
      <c r="V15" s="159"/>
      <c r="W15" s="159"/>
      <c r="X15" s="159"/>
      <c r="Y15" s="159"/>
      <c r="Z15" s="159"/>
      <c r="AA15" s="159"/>
      <c r="AB15" s="159">
        <f>'NOTE 1'!AW27</f>
        <v>0</v>
      </c>
      <c r="AC15" s="159"/>
      <c r="AD15" s="159">
        <f>SUM(J15:AB15)</f>
        <v>0</v>
      </c>
      <c r="AE15" s="317">
        <v>0</v>
      </c>
    </row>
    <row r="16" spans="2:31" ht="15.75">
      <c r="B16" s="291"/>
      <c r="C16" s="297"/>
      <c r="D16" s="249" t="s">
        <v>241</v>
      </c>
      <c r="E16" s="297" t="s">
        <v>335</v>
      </c>
      <c r="F16" s="297"/>
      <c r="G16" s="318"/>
      <c r="H16" s="312"/>
      <c r="I16" s="312"/>
      <c r="J16" s="159">
        <v>0</v>
      </c>
      <c r="K16" s="159"/>
      <c r="L16" s="159">
        <v>0</v>
      </c>
      <c r="M16" s="159"/>
      <c r="N16" s="159"/>
      <c r="O16" s="159"/>
      <c r="P16" s="159">
        <f>'NOTE 1'!Y27</f>
        <v>0</v>
      </c>
      <c r="Q16" s="159"/>
      <c r="R16" s="159"/>
      <c r="S16" s="159"/>
      <c r="T16" s="159"/>
      <c r="U16" s="159"/>
      <c r="V16" s="159"/>
      <c r="W16" s="159"/>
      <c r="X16" s="159"/>
      <c r="Y16" s="159"/>
      <c r="Z16" s="319"/>
      <c r="AA16" s="319"/>
      <c r="AB16" s="159"/>
      <c r="AC16" s="159">
        <f aca="true" t="shared" si="1" ref="AC16:AD19">I16+K16+M16+O16+Q16+S16+U16+Y16+AA16+W16</f>
        <v>0</v>
      </c>
      <c r="AD16" s="159">
        <f t="shared" si="1"/>
        <v>0</v>
      </c>
      <c r="AE16" s="317">
        <v>42845807</v>
      </c>
    </row>
    <row r="17" spans="2:31" ht="15.75">
      <c r="B17" s="291"/>
      <c r="C17" s="297"/>
      <c r="D17" s="249" t="s">
        <v>242</v>
      </c>
      <c r="E17" s="297" t="s">
        <v>336</v>
      </c>
      <c r="F17" s="297"/>
      <c r="G17" s="318"/>
      <c r="H17" s="312" t="s">
        <v>165</v>
      </c>
      <c r="I17" s="312">
        <v>15421000</v>
      </c>
      <c r="J17" s="159">
        <f>'[1]NOTE C'!I18</f>
        <v>311800</v>
      </c>
      <c r="K17" s="159"/>
      <c r="L17" s="159" t="e">
        <f>#REF!</f>
        <v>#REF!</v>
      </c>
      <c r="M17" s="159"/>
      <c r="N17" s="159" t="e">
        <f>#REF!</f>
        <v>#REF!</v>
      </c>
      <c r="O17" s="159">
        <v>0</v>
      </c>
      <c r="P17" s="159" t="e">
        <f>#REF!</f>
        <v>#REF!</v>
      </c>
      <c r="Q17" s="159"/>
      <c r="R17" s="159"/>
      <c r="S17" s="159"/>
      <c r="T17" s="159"/>
      <c r="U17" s="159"/>
      <c r="V17" s="159"/>
      <c r="W17" s="159"/>
      <c r="X17" s="159"/>
      <c r="Y17" s="159"/>
      <c r="Z17" s="159"/>
      <c r="AA17" s="159"/>
      <c r="AB17" s="159" t="e">
        <f>#REF!</f>
        <v>#REF!</v>
      </c>
      <c r="AC17" s="159">
        <f t="shared" si="1"/>
        <v>15421000</v>
      </c>
      <c r="AD17" s="159" t="e">
        <f t="shared" si="1"/>
        <v>#REF!</v>
      </c>
      <c r="AE17" s="317" t="e">
        <f>#REF!</f>
        <v>#REF!</v>
      </c>
    </row>
    <row r="18" spans="2:31" ht="15.75">
      <c r="B18" s="291"/>
      <c r="C18" s="297"/>
      <c r="D18" s="249" t="s">
        <v>243</v>
      </c>
      <c r="E18" s="297" t="s">
        <v>314</v>
      </c>
      <c r="F18" s="297"/>
      <c r="G18" s="318"/>
      <c r="H18" s="312" t="s">
        <v>166</v>
      </c>
      <c r="I18" s="312"/>
      <c r="J18" s="159">
        <f>'[1]NOTE D'!L12</f>
        <v>0</v>
      </c>
      <c r="K18" s="159"/>
      <c r="L18" s="159" t="e">
        <f>#REF!</f>
        <v>#REF!</v>
      </c>
      <c r="M18" s="159"/>
      <c r="N18" s="159" t="e">
        <f>#REF!</f>
        <v>#REF!</v>
      </c>
      <c r="O18" s="159"/>
      <c r="P18" s="159" t="e">
        <f>#REF!</f>
        <v>#REF!</v>
      </c>
      <c r="Q18" s="159"/>
      <c r="R18" s="159"/>
      <c r="S18" s="159"/>
      <c r="T18" s="159"/>
      <c r="U18" s="159"/>
      <c r="V18" s="159"/>
      <c r="W18" s="159"/>
      <c r="X18" s="159"/>
      <c r="Y18" s="159"/>
      <c r="Z18" s="159"/>
      <c r="AA18" s="159"/>
      <c r="AB18" s="159" t="e">
        <f>#REF!</f>
        <v>#REF!</v>
      </c>
      <c r="AC18" s="159">
        <f t="shared" si="1"/>
        <v>0</v>
      </c>
      <c r="AD18" s="159" t="e">
        <f t="shared" si="1"/>
        <v>#REF!</v>
      </c>
      <c r="AE18" s="317" t="e">
        <f>#REF!</f>
        <v>#REF!</v>
      </c>
    </row>
    <row r="19" spans="2:32" s="266" customFormat="1" ht="15.75">
      <c r="B19" s="291"/>
      <c r="C19" s="296"/>
      <c r="D19" s="291"/>
      <c r="E19" s="291"/>
      <c r="F19" s="291"/>
      <c r="G19" s="311" t="s">
        <v>390</v>
      </c>
      <c r="H19" s="312"/>
      <c r="I19" s="304">
        <v>15421000</v>
      </c>
      <c r="J19" s="304">
        <f>SUM(J15:J18)</f>
        <v>311800</v>
      </c>
      <c r="K19" s="304">
        <f>SUM(K15:K18)</f>
        <v>0</v>
      </c>
      <c r="L19" s="304" t="e">
        <f>SUM(L15:L18)</f>
        <v>#REF!</v>
      </c>
      <c r="M19" s="304">
        <f>SUM(M15:M18)</f>
        <v>0</v>
      </c>
      <c r="N19" s="304" t="e">
        <f>SUM(N15:N18)</f>
        <v>#REF!</v>
      </c>
      <c r="O19" s="304">
        <f>SUM(O17:O18)</f>
        <v>0</v>
      </c>
      <c r="P19" s="305" t="e">
        <f>SUM(P17:P18)</f>
        <v>#REF!</v>
      </c>
      <c r="Q19" s="413"/>
      <c r="R19" s="413"/>
      <c r="S19" s="413"/>
      <c r="T19" s="413"/>
      <c r="U19" s="413"/>
      <c r="V19" s="413"/>
      <c r="W19" s="413"/>
      <c r="X19" s="413"/>
      <c r="Y19" s="413"/>
      <c r="Z19" s="413"/>
      <c r="AA19" s="413"/>
      <c r="AB19" s="340" t="e">
        <f>SUM(AB15:AB18)</f>
        <v>#REF!</v>
      </c>
      <c r="AC19" s="320">
        <f t="shared" si="1"/>
        <v>15421000</v>
      </c>
      <c r="AD19" s="321" t="e">
        <f t="shared" si="1"/>
        <v>#REF!</v>
      </c>
      <c r="AE19" s="174" t="e">
        <f>SUM(AE15:AE18)</f>
        <v>#REF!</v>
      </c>
      <c r="AF19" s="264"/>
    </row>
    <row r="20" spans="2:31" ht="15.75">
      <c r="B20" s="302"/>
      <c r="C20" s="247">
        <v>-3</v>
      </c>
      <c r="D20" s="248" t="s">
        <v>337</v>
      </c>
      <c r="E20" s="248"/>
      <c r="F20" s="225"/>
      <c r="G20" s="292"/>
      <c r="H20" s="293"/>
      <c r="I20" s="293"/>
      <c r="J20" s="309"/>
      <c r="K20" s="309"/>
      <c r="L20" s="309"/>
      <c r="M20" s="309"/>
      <c r="N20" s="309"/>
      <c r="O20" s="309"/>
      <c r="P20" s="309"/>
      <c r="Q20" s="309"/>
      <c r="R20" s="309"/>
      <c r="S20" s="309"/>
      <c r="T20" s="309"/>
      <c r="U20" s="309"/>
      <c r="V20" s="309"/>
      <c r="W20" s="309"/>
      <c r="X20" s="309"/>
      <c r="Y20" s="309"/>
      <c r="Z20" s="309"/>
      <c r="AA20" s="309"/>
      <c r="AB20" s="309"/>
      <c r="AC20" s="309"/>
      <c r="AD20" s="309"/>
      <c r="AE20" s="310"/>
    </row>
    <row r="21" spans="2:31" ht="15.75">
      <c r="B21" s="291"/>
      <c r="C21" s="297"/>
      <c r="D21" s="249" t="s">
        <v>241</v>
      </c>
      <c r="E21" s="297" t="s">
        <v>341</v>
      </c>
      <c r="F21" s="297"/>
      <c r="G21" s="318"/>
      <c r="H21" s="312"/>
      <c r="I21" s="312"/>
      <c r="J21" s="159">
        <f>'[1]NOTE 2'!J14</f>
        <v>0</v>
      </c>
      <c r="K21" s="159"/>
      <c r="L21" s="159">
        <f>'NOTE 2'!L14</f>
        <v>0</v>
      </c>
      <c r="M21" s="159"/>
      <c r="N21" s="159">
        <f>'NOTE 2'!N14</f>
        <v>0</v>
      </c>
      <c r="O21" s="159"/>
      <c r="P21" s="159">
        <f>'NOTE 2'!P14</f>
        <v>0</v>
      </c>
      <c r="Q21" s="159"/>
      <c r="R21" s="159"/>
      <c r="S21" s="159"/>
      <c r="T21" s="159"/>
      <c r="U21" s="159"/>
      <c r="V21" s="159"/>
      <c r="W21" s="159"/>
      <c r="X21" s="159"/>
      <c r="Y21" s="159"/>
      <c r="Z21" s="159"/>
      <c r="AA21" s="159"/>
      <c r="AB21" s="159">
        <f>'NOTE 2'!AB14</f>
        <v>0</v>
      </c>
      <c r="AC21" s="159">
        <f>I21+K21+M21+O21+Q21+S21+U21+Y21+AA21</f>
        <v>0</v>
      </c>
      <c r="AD21" s="159">
        <f>J21+L21+N21+P21+R21+T21+V21+Z21+AB21</f>
        <v>0</v>
      </c>
      <c r="AE21" s="317">
        <v>0</v>
      </c>
    </row>
    <row r="22" spans="2:31" ht="15.75">
      <c r="B22" s="291"/>
      <c r="C22" s="297"/>
      <c r="D22" s="249" t="s">
        <v>242</v>
      </c>
      <c r="E22" s="297" t="s">
        <v>203</v>
      </c>
      <c r="F22" s="297"/>
      <c r="G22" s="318"/>
      <c r="H22" s="312" t="s">
        <v>167</v>
      </c>
      <c r="I22" s="312">
        <v>728099</v>
      </c>
      <c r="J22" s="159">
        <f>'[1]NOTE E'!H10</f>
        <v>0</v>
      </c>
      <c r="K22" s="159">
        <v>0</v>
      </c>
      <c r="L22" s="159" t="e">
        <f>#REF!</f>
        <v>#REF!</v>
      </c>
      <c r="M22" s="159">
        <v>1577308</v>
      </c>
      <c r="N22" s="159" t="e">
        <f>#REF!</f>
        <v>#REF!</v>
      </c>
      <c r="O22" s="159">
        <v>1877081</v>
      </c>
      <c r="P22" s="159" t="e">
        <f>#REF!</f>
        <v>#REF!</v>
      </c>
      <c r="Q22" s="159"/>
      <c r="R22" s="159"/>
      <c r="S22" s="159"/>
      <c r="T22" s="159"/>
      <c r="U22" s="159"/>
      <c r="V22" s="159"/>
      <c r="W22" s="159"/>
      <c r="X22" s="159"/>
      <c r="Y22" s="159"/>
      <c r="Z22" s="159"/>
      <c r="AA22" s="159"/>
      <c r="AB22" s="159" t="e">
        <f>#REF!</f>
        <v>#REF!</v>
      </c>
      <c r="AC22" s="159">
        <f aca="true" t="shared" si="2" ref="AC22:AC27">I22+K22+M22+O22+Q22+S22+U22+Y22+AA22+W22</f>
        <v>4182488</v>
      </c>
      <c r="AD22" s="159" t="e">
        <f aca="true" t="shared" si="3" ref="AC22:AD29">J22+L22+N22+P22+R22+T22+V22+Z22+AB22+X22</f>
        <v>#REF!</v>
      </c>
      <c r="AE22" s="317" t="e">
        <f>#REF!</f>
        <v>#REF!</v>
      </c>
    </row>
    <row r="23" spans="2:32" ht="15.75">
      <c r="B23" s="291"/>
      <c r="C23" s="297"/>
      <c r="D23" s="249" t="s">
        <v>243</v>
      </c>
      <c r="E23" s="297" t="s">
        <v>338</v>
      </c>
      <c r="F23" s="297"/>
      <c r="G23" s="318"/>
      <c r="H23" s="312" t="s">
        <v>168</v>
      </c>
      <c r="I23" s="312">
        <v>9639887</v>
      </c>
      <c r="J23" s="159">
        <f>'[1]Note F'!I27</f>
        <v>26525739</v>
      </c>
      <c r="K23" s="159">
        <v>9798523</v>
      </c>
      <c r="L23" s="159" t="e">
        <f>#REF!</f>
        <v>#REF!</v>
      </c>
      <c r="M23" s="159">
        <f>2314607-M22</f>
        <v>737299</v>
      </c>
      <c r="N23" s="159" t="e">
        <f>#REF!</f>
        <v>#REF!</v>
      </c>
      <c r="O23" s="159">
        <f>2231939-O22</f>
        <v>354858</v>
      </c>
      <c r="P23" s="159" t="e">
        <f>#REF!</f>
        <v>#REF!</v>
      </c>
      <c r="Q23" s="159"/>
      <c r="R23" s="159"/>
      <c r="S23" s="159"/>
      <c r="T23" s="159"/>
      <c r="U23" s="159"/>
      <c r="V23" s="159"/>
      <c r="W23" s="159"/>
      <c r="X23" s="159"/>
      <c r="Y23" s="159"/>
      <c r="Z23" s="159"/>
      <c r="AA23" s="159"/>
      <c r="AB23" s="159" t="e">
        <f>#REF!</f>
        <v>#REF!</v>
      </c>
      <c r="AC23" s="159">
        <f t="shared" si="2"/>
        <v>20530567</v>
      </c>
      <c r="AD23" s="159" t="e">
        <f t="shared" si="3"/>
        <v>#REF!</v>
      </c>
      <c r="AE23" s="317" t="e">
        <f>#REF!</f>
        <v>#REF!</v>
      </c>
      <c r="AF23" s="185"/>
    </row>
    <row r="24" spans="2:31" ht="15.75">
      <c r="B24" s="291"/>
      <c r="C24" s="297"/>
      <c r="D24" s="249" t="s">
        <v>252</v>
      </c>
      <c r="E24" s="297" t="s">
        <v>339</v>
      </c>
      <c r="F24" s="297"/>
      <c r="G24" s="318"/>
      <c r="H24" s="312" t="s">
        <v>169</v>
      </c>
      <c r="I24" s="312"/>
      <c r="J24" s="159">
        <f>'[1]NOTE G'!J14</f>
        <v>0</v>
      </c>
      <c r="K24" s="159"/>
      <c r="L24" s="159" t="e">
        <f>#REF!</f>
        <v>#REF!</v>
      </c>
      <c r="M24" s="159">
        <v>7565753</v>
      </c>
      <c r="N24" s="159" t="e">
        <f>#REF!</f>
        <v>#REF!</v>
      </c>
      <c r="O24" s="159">
        <v>7565753</v>
      </c>
      <c r="P24" s="159" t="e">
        <f>#REF!</f>
        <v>#REF!</v>
      </c>
      <c r="Q24" s="159"/>
      <c r="R24" s="159"/>
      <c r="S24" s="159"/>
      <c r="T24" s="159"/>
      <c r="U24" s="159"/>
      <c r="V24" s="159"/>
      <c r="W24" s="159"/>
      <c r="X24" s="159"/>
      <c r="Y24" s="159"/>
      <c r="Z24" s="159"/>
      <c r="AA24" s="159"/>
      <c r="AB24" s="159" t="e">
        <f>#REF!</f>
        <v>#REF!</v>
      </c>
      <c r="AC24" s="159">
        <f t="shared" si="2"/>
        <v>15131506</v>
      </c>
      <c r="AD24" s="159" t="e">
        <f t="shared" si="3"/>
        <v>#REF!</v>
      </c>
      <c r="AE24" s="317" t="e">
        <f>#REF!</f>
        <v>#REF!</v>
      </c>
    </row>
    <row r="25" spans="2:31" ht="15.75">
      <c r="B25" s="291"/>
      <c r="C25" s="297"/>
      <c r="D25" s="249" t="s">
        <v>274</v>
      </c>
      <c r="E25" s="297" t="s">
        <v>340</v>
      </c>
      <c r="F25" s="297"/>
      <c r="G25" s="318"/>
      <c r="H25" s="312"/>
      <c r="I25" s="312">
        <v>63068130</v>
      </c>
      <c r="J25" s="159">
        <v>62287464</v>
      </c>
      <c r="K25" s="159">
        <v>68227894</v>
      </c>
      <c r="L25" s="159">
        <v>-56414291.370000035</v>
      </c>
      <c r="M25" s="159">
        <v>65890091</v>
      </c>
      <c r="N25" s="159">
        <v>-937002649.94</v>
      </c>
      <c r="O25" s="159">
        <v>64225178.86</v>
      </c>
      <c r="P25" s="159">
        <v>-196312660.29999998</v>
      </c>
      <c r="Q25" s="159"/>
      <c r="R25" s="159"/>
      <c r="S25" s="159"/>
      <c r="T25" s="159"/>
      <c r="U25" s="159"/>
      <c r="V25" s="159"/>
      <c r="W25" s="159"/>
      <c r="X25" s="159"/>
      <c r="Y25" s="159"/>
      <c r="Z25" s="159"/>
      <c r="AA25" s="159"/>
      <c r="AB25" s="159">
        <f>5274209230-5200000</f>
        <v>5269009230</v>
      </c>
      <c r="AC25" s="159">
        <f>I25+K25+M25+O25+Q25+S25+U25+Y25+AA25+W25+1</f>
        <v>261411294.86</v>
      </c>
      <c r="AD25" s="159">
        <f t="shared" si="3"/>
        <v>4141567092.39</v>
      </c>
      <c r="AE25" s="317">
        <v>0.25999951362609863</v>
      </c>
    </row>
    <row r="26" spans="2:32" s="266" customFormat="1" ht="16.5" thickBot="1">
      <c r="B26" s="291"/>
      <c r="C26" s="296"/>
      <c r="D26" s="291"/>
      <c r="E26" s="291"/>
      <c r="F26" s="291"/>
      <c r="G26" s="311" t="s">
        <v>391</v>
      </c>
      <c r="H26" s="312"/>
      <c r="I26" s="322">
        <v>73436116</v>
      </c>
      <c r="J26" s="322">
        <f>SUM(J21:J25)</f>
        <v>88813203</v>
      </c>
      <c r="K26" s="322">
        <f>SUM(K21:K25)</f>
        <v>78026417</v>
      </c>
      <c r="L26" s="322" t="e">
        <f>SUM(L21:L25)</f>
        <v>#REF!</v>
      </c>
      <c r="M26" s="322">
        <f>SUM(M21:M25)</f>
        <v>75770451</v>
      </c>
      <c r="N26" s="322" t="e">
        <f>SUM(N21:N25)</f>
        <v>#REF!</v>
      </c>
      <c r="O26" s="322">
        <f>SUM(O22:O25)</f>
        <v>74022870.86</v>
      </c>
      <c r="P26" s="323" t="e">
        <f>SUM(P22:P25)</f>
        <v>#REF!</v>
      </c>
      <c r="Q26" s="413"/>
      <c r="R26" s="413"/>
      <c r="S26" s="413"/>
      <c r="T26" s="413"/>
      <c r="U26" s="413"/>
      <c r="V26" s="413"/>
      <c r="W26" s="413"/>
      <c r="X26" s="413"/>
      <c r="Y26" s="413"/>
      <c r="Z26" s="413"/>
      <c r="AA26" s="413"/>
      <c r="AB26" s="405" t="e">
        <f>SUM(AB21:AB25)</f>
        <v>#REF!</v>
      </c>
      <c r="AC26" s="324">
        <f>I26+K26+M26+O26+Q26+S26+U26+Y26+AA26+W26+1</f>
        <v>301255855.86</v>
      </c>
      <c r="AD26" s="324" t="e">
        <f t="shared" si="3"/>
        <v>#REF!</v>
      </c>
      <c r="AE26" s="314" t="e">
        <f>SUM(AE21:AE25)</f>
        <v>#REF!</v>
      </c>
      <c r="AF26" s="264"/>
    </row>
    <row r="27" spans="2:31" s="266" customFormat="1" ht="16.5" thickTop="1">
      <c r="B27" s="302"/>
      <c r="C27" s="247">
        <v>-4</v>
      </c>
      <c r="D27" s="248" t="s">
        <v>315</v>
      </c>
      <c r="E27" s="188"/>
      <c r="F27" s="188"/>
      <c r="G27" s="325"/>
      <c r="H27" s="293" t="s">
        <v>170</v>
      </c>
      <c r="I27" s="326"/>
      <c r="J27" s="326">
        <f>'[1]Sheet2'!G13</f>
        <v>0</v>
      </c>
      <c r="K27" s="326"/>
      <c r="L27" s="326" t="e">
        <f>#REF!</f>
        <v>#REF!</v>
      </c>
      <c r="M27" s="326"/>
      <c r="N27" s="326" t="e">
        <f>#REF!</f>
        <v>#REF!</v>
      </c>
      <c r="O27" s="327">
        <v>0</v>
      </c>
      <c r="P27" s="400" t="e">
        <f>#REF!</f>
        <v>#REF!</v>
      </c>
      <c r="Q27" s="414"/>
      <c r="R27" s="414"/>
      <c r="S27" s="414"/>
      <c r="T27" s="415"/>
      <c r="U27" s="415"/>
      <c r="V27" s="415"/>
      <c r="W27" s="415"/>
      <c r="X27" s="415"/>
      <c r="Y27" s="415"/>
      <c r="Z27" s="415"/>
      <c r="AA27" s="415"/>
      <c r="AB27" s="406" t="e">
        <f>#REF!</f>
        <v>#REF!</v>
      </c>
      <c r="AC27" s="328">
        <f t="shared" si="2"/>
        <v>0</v>
      </c>
      <c r="AD27" s="329" t="e">
        <f t="shared" si="3"/>
        <v>#REF!</v>
      </c>
      <c r="AE27" s="330" t="e">
        <f>#REF!</f>
        <v>#REF!</v>
      </c>
    </row>
    <row r="28" spans="2:32" s="266" customFormat="1" ht="15.75">
      <c r="B28" s="302"/>
      <c r="C28" s="247"/>
      <c r="D28" s="261"/>
      <c r="E28" s="261"/>
      <c r="F28" s="291"/>
      <c r="G28" s="331" t="s">
        <v>316</v>
      </c>
      <c r="H28" s="312"/>
      <c r="I28" s="312"/>
      <c r="J28" s="313">
        <f>J27</f>
        <v>0</v>
      </c>
      <c r="K28" s="313"/>
      <c r="L28" s="313" t="e">
        <f>L27</f>
        <v>#REF!</v>
      </c>
      <c r="M28" s="313"/>
      <c r="N28" s="313" t="e">
        <f>N27</f>
        <v>#REF!</v>
      </c>
      <c r="O28" s="313"/>
      <c r="P28" s="313" t="e">
        <f>P27</f>
        <v>#REF!</v>
      </c>
      <c r="Q28" s="313"/>
      <c r="R28" s="313"/>
      <c r="S28" s="313"/>
      <c r="T28" s="313"/>
      <c r="U28" s="313"/>
      <c r="V28" s="313"/>
      <c r="W28" s="313"/>
      <c r="X28" s="313"/>
      <c r="Y28" s="313"/>
      <c r="Z28" s="313"/>
      <c r="AA28" s="313"/>
      <c r="AB28" s="313" t="e">
        <f>AB27</f>
        <v>#REF!</v>
      </c>
      <c r="AC28" s="309">
        <f t="shared" si="3"/>
        <v>0</v>
      </c>
      <c r="AD28" s="309" t="e">
        <f t="shared" si="3"/>
        <v>#REF!</v>
      </c>
      <c r="AE28" s="332" t="e">
        <f>AE27</f>
        <v>#REF!</v>
      </c>
      <c r="AF28" s="264"/>
    </row>
    <row r="29" spans="2:32" s="266" customFormat="1" ht="16.5" thickBot="1">
      <c r="B29" s="302"/>
      <c r="C29" s="301"/>
      <c r="D29" s="302"/>
      <c r="E29" s="261"/>
      <c r="F29" s="291"/>
      <c r="G29" s="333" t="s">
        <v>317</v>
      </c>
      <c r="H29" s="332"/>
      <c r="I29" s="334">
        <v>59671032</v>
      </c>
      <c r="J29" s="334">
        <f>J28+J26+J19+J11</f>
        <v>59673950</v>
      </c>
      <c r="K29" s="334">
        <f aca="true" t="shared" si="4" ref="K29:P29">K28+K26+K19+K11</f>
        <v>48098669.78</v>
      </c>
      <c r="L29" s="334" t="e">
        <f t="shared" si="4"/>
        <v>#REF!</v>
      </c>
      <c r="M29" s="334">
        <f t="shared" si="4"/>
        <v>48508994</v>
      </c>
      <c r="N29" s="334" t="e">
        <f t="shared" si="4"/>
        <v>#REF!</v>
      </c>
      <c r="O29" s="334">
        <f t="shared" si="4"/>
        <v>49594682.86</v>
      </c>
      <c r="P29" s="401" t="e">
        <f t="shared" si="4"/>
        <v>#REF!</v>
      </c>
      <c r="Q29" s="416"/>
      <c r="R29" s="416"/>
      <c r="S29" s="416"/>
      <c r="T29" s="416"/>
      <c r="U29" s="416"/>
      <c r="V29" s="416"/>
      <c r="W29" s="416"/>
      <c r="X29" s="416"/>
      <c r="Y29" s="416"/>
      <c r="Z29" s="416"/>
      <c r="AA29" s="416"/>
      <c r="AB29" s="407" t="e">
        <f>AB28+AB26+AB19+AB11</f>
        <v>#REF!</v>
      </c>
      <c r="AC29" s="245">
        <f>AC11+AC19+AC26+AC28</f>
        <v>205873380.64000002</v>
      </c>
      <c r="AD29" s="251" t="e">
        <f t="shared" si="3"/>
        <v>#REF!</v>
      </c>
      <c r="AE29" s="334" t="e">
        <f>AE28+AE26+AE19+AE11</f>
        <v>#REF!</v>
      </c>
      <c r="AF29" s="269"/>
    </row>
    <row r="30" spans="2:31" ht="18" customHeight="1" thickTop="1">
      <c r="B30" s="252" t="s">
        <v>259</v>
      </c>
      <c r="C30" s="253" t="s">
        <v>260</v>
      </c>
      <c r="D30" s="225"/>
      <c r="E30" s="225"/>
      <c r="F30" s="335"/>
      <c r="G30" s="316"/>
      <c r="H30" s="312"/>
      <c r="I30" s="312"/>
      <c r="J30" s="159"/>
      <c r="K30" s="159"/>
      <c r="L30" s="159"/>
      <c r="M30" s="159"/>
      <c r="N30" s="159"/>
      <c r="O30" s="159"/>
      <c r="P30" s="159"/>
      <c r="Q30" s="159"/>
      <c r="R30" s="159"/>
      <c r="S30" s="159"/>
      <c r="T30" s="159"/>
      <c r="U30" s="159"/>
      <c r="V30" s="159"/>
      <c r="W30" s="159"/>
      <c r="X30" s="159"/>
      <c r="Y30" s="159"/>
      <c r="Z30" s="159"/>
      <c r="AA30" s="159"/>
      <c r="AB30" s="159"/>
      <c r="AC30" s="159"/>
      <c r="AD30" s="159"/>
      <c r="AE30" s="317"/>
    </row>
    <row r="31" spans="2:34" ht="15.75">
      <c r="B31" s="291"/>
      <c r="C31" s="250">
        <v>-1</v>
      </c>
      <c r="D31" s="32" t="s">
        <v>342</v>
      </c>
      <c r="E31" s="32"/>
      <c r="F31" s="297"/>
      <c r="G31" s="316"/>
      <c r="H31" s="312"/>
      <c r="I31" s="312"/>
      <c r="J31" s="159"/>
      <c r="K31" s="159"/>
      <c r="L31" s="159"/>
      <c r="M31" s="159"/>
      <c r="N31" s="159"/>
      <c r="O31" s="159"/>
      <c r="P31" s="159"/>
      <c r="Q31" s="159"/>
      <c r="R31" s="159"/>
      <c r="S31" s="159"/>
      <c r="T31" s="159"/>
      <c r="U31" s="159"/>
      <c r="V31" s="159"/>
      <c r="W31" s="159"/>
      <c r="X31" s="159"/>
      <c r="Y31" s="159"/>
      <c r="Z31" s="159"/>
      <c r="AA31" s="159"/>
      <c r="AB31" s="159"/>
      <c r="AC31" s="159"/>
      <c r="AD31" s="159"/>
      <c r="AE31" s="317"/>
      <c r="AH31" s="185"/>
    </row>
    <row r="32" spans="2:31" ht="15.75">
      <c r="B32" s="291"/>
      <c r="C32" s="336"/>
      <c r="D32" s="249" t="s">
        <v>241</v>
      </c>
      <c r="E32" s="248" t="s">
        <v>343</v>
      </c>
      <c r="F32" s="225"/>
      <c r="G32" s="292"/>
      <c r="H32" s="293"/>
      <c r="I32" s="293"/>
      <c r="J32" s="309"/>
      <c r="K32" s="309"/>
      <c r="L32" s="337"/>
      <c r="M32" s="337"/>
      <c r="N32" s="309"/>
      <c r="O32" s="309"/>
      <c r="P32" s="337"/>
      <c r="Q32" s="337"/>
      <c r="R32" s="309"/>
      <c r="S32" s="309"/>
      <c r="T32" s="337"/>
      <c r="U32" s="337"/>
      <c r="V32" s="309"/>
      <c r="W32" s="309"/>
      <c r="X32" s="337"/>
      <c r="Y32" s="337"/>
      <c r="Z32" s="309"/>
      <c r="AA32" s="309"/>
      <c r="AB32" s="337"/>
      <c r="AC32" s="337"/>
      <c r="AD32" s="309"/>
      <c r="AE32" s="310"/>
    </row>
    <row r="33" spans="2:31" ht="15.75">
      <c r="B33" s="291"/>
      <c r="C33" s="336"/>
      <c r="D33" s="297"/>
      <c r="E33" s="249" t="s">
        <v>263</v>
      </c>
      <c r="F33" s="338" t="s">
        <v>344</v>
      </c>
      <c r="G33" s="318"/>
      <c r="H33" s="312" t="s">
        <v>221</v>
      </c>
      <c r="I33" s="312">
        <v>40537686</v>
      </c>
      <c r="J33" s="159">
        <v>42222551</v>
      </c>
      <c r="K33" s="159">
        <v>43922753</v>
      </c>
      <c r="L33" s="159">
        <v>1927719.1500000001</v>
      </c>
      <c r="M33" s="159">
        <v>45282852</v>
      </c>
      <c r="N33" s="159">
        <v>9484163.41</v>
      </c>
      <c r="O33" s="159">
        <v>47215925</v>
      </c>
      <c r="P33" s="159">
        <v>34728931.88999999</v>
      </c>
      <c r="Q33" s="159"/>
      <c r="R33" s="159"/>
      <c r="S33" s="159"/>
      <c r="T33" s="159"/>
      <c r="U33" s="159"/>
      <c r="V33" s="159"/>
      <c r="W33" s="159"/>
      <c r="X33" s="159"/>
      <c r="Y33" s="159"/>
      <c r="Z33" s="319"/>
      <c r="AA33" s="319"/>
      <c r="AB33" s="159">
        <v>5470799.6</v>
      </c>
      <c r="AC33" s="159">
        <f>I33+K33+M33+O33+Q33+S33+U33+Y33+AA33+W33-1</f>
        <v>176959215</v>
      </c>
      <c r="AD33" s="159">
        <f>J33+L33+N33+P33+R33+T33+V33+Z33+AB33+X33</f>
        <v>93834165.04999998</v>
      </c>
      <c r="AE33" s="317">
        <v>335773865.227</v>
      </c>
    </row>
    <row r="34" spans="2:31" ht="15.75">
      <c r="B34" s="291"/>
      <c r="C34" s="336"/>
      <c r="D34" s="297"/>
      <c r="E34" s="249" t="s">
        <v>265</v>
      </c>
      <c r="F34" s="338" t="s">
        <v>204</v>
      </c>
      <c r="G34" s="318"/>
      <c r="H34" s="312" t="s">
        <v>171</v>
      </c>
      <c r="I34" s="312">
        <f>'[1]NOTE I'!F57</f>
        <v>1957104</v>
      </c>
      <c r="J34" s="159">
        <v>0</v>
      </c>
      <c r="K34" s="159"/>
      <c r="L34" s="159">
        <v>0</v>
      </c>
      <c r="M34" s="159"/>
      <c r="N34" s="159"/>
      <c r="O34" s="159">
        <v>0</v>
      </c>
      <c r="P34" s="159">
        <v>10917555</v>
      </c>
      <c r="Q34" s="159"/>
      <c r="R34" s="159"/>
      <c r="S34" s="159"/>
      <c r="T34" s="159"/>
      <c r="U34" s="159"/>
      <c r="V34" s="159"/>
      <c r="W34" s="159"/>
      <c r="X34" s="159"/>
      <c r="Y34" s="159"/>
      <c r="Z34" s="159"/>
      <c r="AA34" s="159"/>
      <c r="AB34" s="159">
        <v>184835</v>
      </c>
      <c r="AC34" s="159">
        <f>I34+K34+M34+O34+Q34+S34+U34+Y34+AA34+W34</f>
        <v>1957104</v>
      </c>
      <c r="AD34" s="159">
        <f>J34+L34+N34+P34+R34+T34+V34+Z34+AB34+X34</f>
        <v>11102390</v>
      </c>
      <c r="AE34" s="317">
        <v>21713372</v>
      </c>
    </row>
    <row r="35" spans="2:31" ht="15.75" customHeight="1">
      <c r="B35" s="291"/>
      <c r="C35" s="336"/>
      <c r="D35" s="297"/>
      <c r="E35" s="249" t="s">
        <v>269</v>
      </c>
      <c r="F35" s="338" t="s">
        <v>345</v>
      </c>
      <c r="G35" s="318"/>
      <c r="H35" s="312"/>
      <c r="I35" s="312"/>
      <c r="J35" s="159">
        <v>0</v>
      </c>
      <c r="K35" s="159"/>
      <c r="L35" s="159">
        <v>0</v>
      </c>
      <c r="M35" s="159"/>
      <c r="N35" s="159"/>
      <c r="O35" s="159"/>
      <c r="P35" s="159"/>
      <c r="Q35" s="159"/>
      <c r="R35" s="159"/>
      <c r="S35" s="159"/>
      <c r="T35" s="159"/>
      <c r="U35" s="159"/>
      <c r="V35" s="159"/>
      <c r="W35" s="159"/>
      <c r="X35" s="159"/>
      <c r="Y35" s="159"/>
      <c r="Z35" s="159"/>
      <c r="AA35" s="159"/>
      <c r="AB35" s="159"/>
      <c r="AC35" s="159"/>
      <c r="AD35" s="159"/>
      <c r="AE35" s="317"/>
    </row>
    <row r="36" spans="2:31" ht="15.75">
      <c r="B36" s="291"/>
      <c r="C36" s="336"/>
      <c r="D36" s="249" t="s">
        <v>242</v>
      </c>
      <c r="E36" s="297" t="s">
        <v>346</v>
      </c>
      <c r="F36" s="297"/>
      <c r="G36" s="318"/>
      <c r="H36" s="312"/>
      <c r="I36" s="312"/>
      <c r="J36" s="159">
        <v>0</v>
      </c>
      <c r="K36" s="159"/>
      <c r="L36" s="159">
        <v>0</v>
      </c>
      <c r="M36" s="159"/>
      <c r="N36" s="159"/>
      <c r="O36" s="159"/>
      <c r="P36" s="159"/>
      <c r="Q36" s="159"/>
      <c r="R36" s="159"/>
      <c r="S36" s="159"/>
      <c r="T36" s="159"/>
      <c r="U36" s="159"/>
      <c r="V36" s="159"/>
      <c r="W36" s="159"/>
      <c r="X36" s="159"/>
      <c r="Y36" s="159"/>
      <c r="Z36" s="159"/>
      <c r="AA36" s="159"/>
      <c r="AB36" s="159"/>
      <c r="AC36" s="159"/>
      <c r="AD36" s="159"/>
      <c r="AE36" s="317"/>
    </row>
    <row r="37" spans="2:31" ht="15.75">
      <c r="B37" s="291"/>
      <c r="C37" s="336"/>
      <c r="D37" s="249" t="s">
        <v>243</v>
      </c>
      <c r="E37" s="297" t="s">
        <v>347</v>
      </c>
      <c r="F37" s="297"/>
      <c r="G37" s="318"/>
      <c r="H37" s="312"/>
      <c r="I37" s="312"/>
      <c r="J37" s="159">
        <v>0</v>
      </c>
      <c r="K37" s="159"/>
      <c r="L37" s="159">
        <v>0</v>
      </c>
      <c r="M37" s="159"/>
      <c r="N37" s="159"/>
      <c r="O37" s="159"/>
      <c r="P37" s="159"/>
      <c r="Q37" s="159"/>
      <c r="R37" s="159"/>
      <c r="S37" s="159"/>
      <c r="T37" s="159"/>
      <c r="U37" s="159"/>
      <c r="V37" s="159"/>
      <c r="W37" s="159"/>
      <c r="X37" s="159"/>
      <c r="Y37" s="159"/>
      <c r="Z37" s="159"/>
      <c r="AA37" s="159"/>
      <c r="AB37" s="159"/>
      <c r="AC37" s="159"/>
      <c r="AD37" s="159"/>
      <c r="AE37" s="317"/>
    </row>
    <row r="38" spans="2:31" ht="15.75">
      <c r="B38" s="291"/>
      <c r="C38" s="336"/>
      <c r="D38" s="249" t="s">
        <v>252</v>
      </c>
      <c r="E38" s="297" t="s">
        <v>348</v>
      </c>
      <c r="F38" s="297"/>
      <c r="G38" s="318"/>
      <c r="H38" s="312" t="s">
        <v>172</v>
      </c>
      <c r="I38" s="312">
        <f>'[1]NOTE J'!H34</f>
        <v>28500</v>
      </c>
      <c r="J38" s="159">
        <v>28500</v>
      </c>
      <c r="K38" s="159"/>
      <c r="L38" s="159" t="e">
        <f>#REF!</f>
        <v>#REF!</v>
      </c>
      <c r="M38" s="159"/>
      <c r="N38" s="159" t="e">
        <f>#REF!</f>
        <v>#REF!</v>
      </c>
      <c r="O38" s="159">
        <v>0</v>
      </c>
      <c r="P38" s="159" t="e">
        <f>#REF!</f>
        <v>#REF!</v>
      </c>
      <c r="Q38" s="159"/>
      <c r="R38" s="159"/>
      <c r="S38" s="159"/>
      <c r="T38" s="159"/>
      <c r="U38" s="159"/>
      <c r="V38" s="159"/>
      <c r="W38" s="159"/>
      <c r="X38" s="159"/>
      <c r="Y38" s="159"/>
      <c r="Z38" s="159"/>
      <c r="AA38" s="159"/>
      <c r="AB38" s="159" t="e">
        <f>#REF!</f>
        <v>#REF!</v>
      </c>
      <c r="AC38" s="159">
        <f aca="true" t="shared" si="5" ref="AC38:AD41">I38+K38+M38+O38+Q38+S38+U38+Y38+AA38+W38</f>
        <v>28500</v>
      </c>
      <c r="AD38" s="159" t="e">
        <f t="shared" si="5"/>
        <v>#REF!</v>
      </c>
      <c r="AE38" s="317" t="e">
        <f>#REF!</f>
        <v>#REF!</v>
      </c>
    </row>
    <row r="39" spans="2:31" ht="15.75">
      <c r="B39" s="291"/>
      <c r="C39" s="336"/>
      <c r="D39" s="249" t="s">
        <v>274</v>
      </c>
      <c r="E39" s="297" t="s">
        <v>349</v>
      </c>
      <c r="F39" s="297"/>
      <c r="G39" s="318"/>
      <c r="H39" s="312" t="s">
        <v>173</v>
      </c>
      <c r="I39" s="312"/>
      <c r="J39" s="159">
        <v>0</v>
      </c>
      <c r="K39" s="159"/>
      <c r="L39" s="159">
        <v>0</v>
      </c>
      <c r="M39" s="159"/>
      <c r="N39" s="159">
        <v>0</v>
      </c>
      <c r="O39" s="159"/>
      <c r="P39" s="159">
        <v>0</v>
      </c>
      <c r="Q39" s="159"/>
      <c r="R39" s="159"/>
      <c r="S39" s="159"/>
      <c r="T39" s="159"/>
      <c r="U39" s="159"/>
      <c r="V39" s="159"/>
      <c r="W39" s="159"/>
      <c r="X39" s="159"/>
      <c r="Y39" s="159"/>
      <c r="Z39" s="159"/>
      <c r="AA39" s="159"/>
      <c r="AB39" s="159">
        <v>0</v>
      </c>
      <c r="AC39" s="159">
        <f t="shared" si="5"/>
        <v>0</v>
      </c>
      <c r="AD39" s="159">
        <f t="shared" si="5"/>
        <v>0</v>
      </c>
      <c r="AE39" s="317" t="e">
        <f>#REF!</f>
        <v>#REF!</v>
      </c>
    </row>
    <row r="40" spans="2:31" ht="15.75">
      <c r="B40" s="291"/>
      <c r="C40" s="336"/>
      <c r="D40" s="249"/>
      <c r="E40" s="297"/>
      <c r="F40" s="297"/>
      <c r="G40" s="318"/>
      <c r="H40" s="312"/>
      <c r="I40" s="312"/>
      <c r="J40" s="159"/>
      <c r="K40" s="159"/>
      <c r="L40" s="159"/>
      <c r="M40" s="159"/>
      <c r="N40" s="159"/>
      <c r="O40" s="159"/>
      <c r="P40" s="159"/>
      <c r="Q40" s="159"/>
      <c r="R40" s="159"/>
      <c r="S40" s="159"/>
      <c r="T40" s="159"/>
      <c r="U40" s="159"/>
      <c r="V40" s="159"/>
      <c r="W40" s="159"/>
      <c r="X40" s="159"/>
      <c r="Y40" s="159"/>
      <c r="Z40" s="159"/>
      <c r="AA40" s="159"/>
      <c r="AB40" s="159"/>
      <c r="AC40" s="159"/>
      <c r="AD40" s="159"/>
      <c r="AE40" s="317"/>
    </row>
    <row r="41" spans="2:32" s="266" customFormat="1" ht="15.75">
      <c r="B41" s="291"/>
      <c r="C41" s="296"/>
      <c r="D41" s="291"/>
      <c r="E41" s="291"/>
      <c r="F41" s="291"/>
      <c r="G41" s="311" t="s">
        <v>392</v>
      </c>
      <c r="H41" s="312"/>
      <c r="I41" s="304">
        <f>SUM(I33:I40)</f>
        <v>42523290</v>
      </c>
      <c r="J41" s="304">
        <v>42251051</v>
      </c>
      <c r="K41" s="304">
        <f aca="true" t="shared" si="6" ref="K41:P41">SUM(K33:K40)</f>
        <v>43922753</v>
      </c>
      <c r="L41" s="304" t="e">
        <f t="shared" si="6"/>
        <v>#REF!</v>
      </c>
      <c r="M41" s="304">
        <f t="shared" si="6"/>
        <v>45282852</v>
      </c>
      <c r="N41" s="304" t="e">
        <f t="shared" si="6"/>
        <v>#REF!</v>
      </c>
      <c r="O41" s="304">
        <f t="shared" si="6"/>
        <v>47215925</v>
      </c>
      <c r="P41" s="305" t="e">
        <f t="shared" si="6"/>
        <v>#REF!</v>
      </c>
      <c r="Q41" s="413"/>
      <c r="R41" s="413"/>
      <c r="S41" s="413"/>
      <c r="T41" s="413"/>
      <c r="U41" s="413"/>
      <c r="V41" s="413"/>
      <c r="W41" s="413"/>
      <c r="X41" s="413"/>
      <c r="Y41" s="413"/>
      <c r="Z41" s="413"/>
      <c r="AA41" s="413"/>
      <c r="AB41" s="340" t="e">
        <f>SUM(AB33:AB40)</f>
        <v>#REF!</v>
      </c>
      <c r="AC41" s="320">
        <f>I41+K41+M41+O41+Q41+S41+U41+Y41+AA41+W41-1</f>
        <v>178944819</v>
      </c>
      <c r="AD41" s="339" t="e">
        <f t="shared" si="5"/>
        <v>#REF!</v>
      </c>
      <c r="AE41" s="304" t="e">
        <f>SUM(AE33:AE40)</f>
        <v>#REF!</v>
      </c>
      <c r="AF41" s="264"/>
    </row>
    <row r="42" spans="2:31" ht="15.75">
      <c r="B42" s="302"/>
      <c r="C42" s="247">
        <v>-2</v>
      </c>
      <c r="D42" s="248" t="s">
        <v>350</v>
      </c>
      <c r="E42" s="248"/>
      <c r="F42" s="225"/>
      <c r="G42" s="292"/>
      <c r="H42" s="293"/>
      <c r="I42" s="293"/>
      <c r="J42" s="309"/>
      <c r="K42" s="309"/>
      <c r="L42" s="309"/>
      <c r="M42" s="309"/>
      <c r="N42" s="309"/>
      <c r="O42" s="309"/>
      <c r="P42" s="309"/>
      <c r="Q42" s="309"/>
      <c r="R42" s="309"/>
      <c r="S42" s="309"/>
      <c r="T42" s="309"/>
      <c r="U42" s="309"/>
      <c r="V42" s="309"/>
      <c r="W42" s="309"/>
      <c r="X42" s="309"/>
      <c r="Y42" s="309"/>
      <c r="Z42" s="309"/>
      <c r="AA42" s="309"/>
      <c r="AB42" s="309"/>
      <c r="AC42" s="309"/>
      <c r="AD42" s="309"/>
      <c r="AE42" s="310"/>
    </row>
    <row r="43" spans="2:31" ht="15.75" hidden="1">
      <c r="B43" s="291"/>
      <c r="C43" s="297"/>
      <c r="D43" s="249" t="s">
        <v>241</v>
      </c>
      <c r="E43" s="297" t="s">
        <v>277</v>
      </c>
      <c r="F43" s="297"/>
      <c r="G43" s="318"/>
      <c r="H43" s="312" t="s">
        <v>176</v>
      </c>
      <c r="I43" s="312"/>
      <c r="J43" s="159">
        <v>0</v>
      </c>
      <c r="K43" s="159"/>
      <c r="L43" s="159">
        <v>0</v>
      </c>
      <c r="M43" s="159"/>
      <c r="N43" s="159"/>
      <c r="O43" s="159"/>
      <c r="P43" s="159"/>
      <c r="Q43" s="159"/>
      <c r="R43" s="159"/>
      <c r="S43" s="159"/>
      <c r="T43" s="159"/>
      <c r="U43" s="159"/>
      <c r="V43" s="159"/>
      <c r="W43" s="159"/>
      <c r="X43" s="159"/>
      <c r="Y43" s="159"/>
      <c r="Z43" s="159"/>
      <c r="AA43" s="159"/>
      <c r="AB43" s="159"/>
      <c r="AC43" s="159"/>
      <c r="AD43" s="159"/>
      <c r="AE43" s="317"/>
    </row>
    <row r="44" spans="2:31" ht="15.75">
      <c r="B44" s="291"/>
      <c r="C44" s="297"/>
      <c r="D44" s="249" t="s">
        <v>241</v>
      </c>
      <c r="E44" s="297" t="s">
        <v>351</v>
      </c>
      <c r="F44" s="297"/>
      <c r="G44" s="318"/>
      <c r="H44" s="312" t="s">
        <v>174</v>
      </c>
      <c r="I44" s="312"/>
      <c r="J44" s="159">
        <v>0</v>
      </c>
      <c r="K44" s="159">
        <v>0</v>
      </c>
      <c r="L44" s="159" t="e">
        <f>#REF!</f>
        <v>#REF!</v>
      </c>
      <c r="M44" s="159"/>
      <c r="N44" s="159" t="e">
        <f>#REF!</f>
        <v>#REF!</v>
      </c>
      <c r="O44" s="159">
        <v>27639</v>
      </c>
      <c r="P44" s="159">
        <v>0</v>
      </c>
      <c r="Q44" s="159"/>
      <c r="R44" s="159"/>
      <c r="S44" s="159"/>
      <c r="T44" s="159"/>
      <c r="U44" s="159"/>
      <c r="V44" s="159"/>
      <c r="W44" s="159"/>
      <c r="X44" s="159"/>
      <c r="Y44" s="159"/>
      <c r="Z44" s="159"/>
      <c r="AA44" s="159"/>
      <c r="AB44" s="159">
        <v>0</v>
      </c>
      <c r="AC44" s="159">
        <f aca="true" t="shared" si="7" ref="AC44:AC51">I44+K44+M44+O44+Q44+S44+U44+Y44+AA44+W44</f>
        <v>27639</v>
      </c>
      <c r="AD44" s="159" t="e">
        <f aca="true" t="shared" si="8" ref="AD44:AD49">J44+L44+N44+P44+R44+T44+V44+Z44+AB44+X44</f>
        <v>#REF!</v>
      </c>
      <c r="AE44" s="317" t="e">
        <f>#REF!</f>
        <v>#REF!</v>
      </c>
    </row>
    <row r="45" spans="2:31" ht="15.75">
      <c r="B45" s="291"/>
      <c r="C45" s="297"/>
      <c r="D45" s="249" t="s">
        <v>242</v>
      </c>
      <c r="E45" s="297" t="s">
        <v>352</v>
      </c>
      <c r="F45" s="297"/>
      <c r="G45" s="318"/>
      <c r="H45" s="312" t="s">
        <v>175</v>
      </c>
      <c r="I45" s="312">
        <f>'[1]NOTE M'!G22</f>
        <v>8512489</v>
      </c>
      <c r="J45" s="159">
        <v>3259477</v>
      </c>
      <c r="K45" s="159">
        <v>1992276</v>
      </c>
      <c r="L45" s="159">
        <v>0</v>
      </c>
      <c r="M45" s="159"/>
      <c r="N45" s="159">
        <v>0</v>
      </c>
      <c r="O45" s="159">
        <v>0</v>
      </c>
      <c r="P45" s="159" t="e">
        <f>#REF!</f>
        <v>#REF!</v>
      </c>
      <c r="Q45" s="159"/>
      <c r="R45" s="159"/>
      <c r="S45" s="159"/>
      <c r="T45" s="159"/>
      <c r="U45" s="159"/>
      <c r="V45" s="159"/>
      <c r="W45" s="159"/>
      <c r="X45" s="159"/>
      <c r="Y45" s="159"/>
      <c r="Z45" s="159"/>
      <c r="AA45" s="159"/>
      <c r="AB45" s="159" t="e">
        <f>#REF!</f>
        <v>#REF!</v>
      </c>
      <c r="AC45" s="159">
        <f t="shared" si="7"/>
        <v>10504765</v>
      </c>
      <c r="AD45" s="159" t="e">
        <f t="shared" si="8"/>
        <v>#REF!</v>
      </c>
      <c r="AE45" s="317" t="e">
        <f>#REF!</f>
        <v>#REF!</v>
      </c>
    </row>
    <row r="46" spans="2:31" ht="15.75">
      <c r="B46" s="291"/>
      <c r="C46" s="297"/>
      <c r="D46" s="249" t="s">
        <v>243</v>
      </c>
      <c r="E46" s="297" t="s">
        <v>353</v>
      </c>
      <c r="F46" s="297"/>
      <c r="G46" s="318"/>
      <c r="H46" s="312" t="s">
        <v>176</v>
      </c>
      <c r="I46" s="312">
        <f>'[1]NOTE N'!K16</f>
        <v>2826865</v>
      </c>
      <c r="J46" s="159">
        <v>3272212</v>
      </c>
      <c r="K46" s="159">
        <v>2169912.35</v>
      </c>
      <c r="L46" s="159" t="e">
        <f>#REF!</f>
        <v>#REF!</v>
      </c>
      <c r="M46" s="159">
        <v>803640</v>
      </c>
      <c r="N46" s="159" t="e">
        <f>#REF!</f>
        <v>#REF!</v>
      </c>
      <c r="O46" s="159">
        <v>777652</v>
      </c>
      <c r="P46" s="159" t="e">
        <f>#REF!</f>
        <v>#REF!</v>
      </c>
      <c r="Q46" s="159"/>
      <c r="R46" s="159"/>
      <c r="S46" s="159"/>
      <c r="T46" s="159"/>
      <c r="U46" s="159"/>
      <c r="V46" s="159"/>
      <c r="W46" s="159"/>
      <c r="X46" s="159"/>
      <c r="Y46" s="159"/>
      <c r="Z46" s="159"/>
      <c r="AA46" s="159"/>
      <c r="AB46" s="159" t="e">
        <f>#REF!</f>
        <v>#REF!</v>
      </c>
      <c r="AC46" s="159">
        <f t="shared" si="7"/>
        <v>6578069.35</v>
      </c>
      <c r="AD46" s="159" t="e">
        <f t="shared" si="8"/>
        <v>#REF!</v>
      </c>
      <c r="AE46" s="317" t="e">
        <f>#REF!</f>
        <v>#REF!</v>
      </c>
    </row>
    <row r="47" spans="2:31" ht="15.75">
      <c r="B47" s="291"/>
      <c r="C47" s="297"/>
      <c r="D47" s="249" t="s">
        <v>252</v>
      </c>
      <c r="E47" s="297" t="s">
        <v>354</v>
      </c>
      <c r="F47" s="297"/>
      <c r="G47" s="318"/>
      <c r="H47" s="312" t="s">
        <v>177</v>
      </c>
      <c r="I47" s="312">
        <f>'[1]note O'!H36</f>
        <v>83844</v>
      </c>
      <c r="J47" s="159">
        <v>9629</v>
      </c>
      <c r="K47" s="159">
        <v>0</v>
      </c>
      <c r="L47" s="159" t="e">
        <f>#REF!</f>
        <v>#REF!</v>
      </c>
      <c r="M47" s="159">
        <v>2422502</v>
      </c>
      <c r="N47" s="159" t="e">
        <f>#REF!</f>
        <v>#REF!</v>
      </c>
      <c r="O47" s="159">
        <v>1573467</v>
      </c>
      <c r="P47" s="159" t="e">
        <f>#REF!</f>
        <v>#REF!</v>
      </c>
      <c r="Q47" s="159"/>
      <c r="R47" s="159"/>
      <c r="S47" s="159"/>
      <c r="T47" s="159"/>
      <c r="U47" s="159"/>
      <c r="V47" s="159"/>
      <c r="W47" s="159"/>
      <c r="X47" s="159"/>
      <c r="Y47" s="159"/>
      <c r="Z47" s="159"/>
      <c r="AA47" s="159"/>
      <c r="AB47" s="159" t="e">
        <f>#REF!</f>
        <v>#REF!</v>
      </c>
      <c r="AC47" s="159">
        <f t="shared" si="7"/>
        <v>4079813</v>
      </c>
      <c r="AD47" s="159" t="e">
        <f t="shared" si="8"/>
        <v>#REF!</v>
      </c>
      <c r="AE47" s="317" t="e">
        <f>#REF!</f>
        <v>#REF!</v>
      </c>
    </row>
    <row r="48" spans="2:31" ht="15.75">
      <c r="B48" s="291"/>
      <c r="C48" s="296"/>
      <c r="D48" s="249" t="s">
        <v>274</v>
      </c>
      <c r="E48" s="297" t="s">
        <v>355</v>
      </c>
      <c r="F48" s="297"/>
      <c r="G48" s="318"/>
      <c r="H48" s="312" t="s">
        <v>178</v>
      </c>
      <c r="I48" s="312">
        <f>'[1]NOTE p'!I15</f>
        <v>5724544</v>
      </c>
      <c r="J48" s="159">
        <v>10881581</v>
      </c>
      <c r="K48" s="159">
        <v>13729</v>
      </c>
      <c r="L48" s="159">
        <v>0</v>
      </c>
      <c r="M48" s="159">
        <v>0</v>
      </c>
      <c r="N48" s="159" t="e">
        <f>#REF!</f>
        <v>#REF!</v>
      </c>
      <c r="O48" s="159">
        <v>0</v>
      </c>
      <c r="P48" s="159" t="e">
        <f>#REF!</f>
        <v>#REF!</v>
      </c>
      <c r="Q48" s="159"/>
      <c r="R48" s="159"/>
      <c r="S48" s="159"/>
      <c r="T48" s="159"/>
      <c r="U48" s="159"/>
      <c r="V48" s="159"/>
      <c r="W48" s="159"/>
      <c r="X48" s="159"/>
      <c r="Y48" s="159"/>
      <c r="Z48" s="159"/>
      <c r="AA48" s="159"/>
      <c r="AB48" s="159">
        <v>0</v>
      </c>
      <c r="AC48" s="159">
        <f t="shared" si="7"/>
        <v>5738273</v>
      </c>
      <c r="AD48" s="254" t="e">
        <f t="shared" si="8"/>
        <v>#REF!</v>
      </c>
      <c r="AE48" s="317" t="e">
        <f>#REF!</f>
        <v>#REF!</v>
      </c>
    </row>
    <row r="49" spans="1:32" s="266" customFormat="1" ht="15.75">
      <c r="A49" s="261"/>
      <c r="B49" s="291"/>
      <c r="C49" s="296"/>
      <c r="D49" s="291"/>
      <c r="E49" s="291"/>
      <c r="F49" s="291"/>
      <c r="G49" s="311" t="s">
        <v>393</v>
      </c>
      <c r="H49" s="312"/>
      <c r="I49" s="304">
        <f>SUM(I43:I48)</f>
        <v>17147742</v>
      </c>
      <c r="J49" s="304">
        <v>17422899</v>
      </c>
      <c r="K49" s="304">
        <f aca="true" t="shared" si="9" ref="K49:P49">SUM(K43:K48)</f>
        <v>4175917.35</v>
      </c>
      <c r="L49" s="304" t="e">
        <f t="shared" si="9"/>
        <v>#REF!</v>
      </c>
      <c r="M49" s="304">
        <f t="shared" si="9"/>
        <v>3226142</v>
      </c>
      <c r="N49" s="304" t="e">
        <f t="shared" si="9"/>
        <v>#REF!</v>
      </c>
      <c r="O49" s="304">
        <f t="shared" si="9"/>
        <v>2378758</v>
      </c>
      <c r="P49" s="305" t="e">
        <f t="shared" si="9"/>
        <v>#REF!</v>
      </c>
      <c r="Q49" s="413"/>
      <c r="R49" s="413"/>
      <c r="S49" s="413"/>
      <c r="T49" s="413"/>
      <c r="U49" s="413"/>
      <c r="V49" s="413"/>
      <c r="W49" s="413"/>
      <c r="X49" s="413"/>
      <c r="Y49" s="413"/>
      <c r="Z49" s="413"/>
      <c r="AA49" s="413"/>
      <c r="AB49" s="404" t="e">
        <f>SUM(AB43:AB48)</f>
        <v>#REF!</v>
      </c>
      <c r="AC49" s="306">
        <f>I49+K49+M49+O49+Q49+S49+U49+Y49+AA49+W49+1</f>
        <v>26928560.35</v>
      </c>
      <c r="AD49" s="306" t="e">
        <f t="shared" si="8"/>
        <v>#REF!</v>
      </c>
      <c r="AE49" s="340" t="e">
        <f>SUM(AE43:AE48)</f>
        <v>#REF!</v>
      </c>
      <c r="AF49" s="264"/>
    </row>
    <row r="50" spans="2:31" s="266" customFormat="1" ht="12.75">
      <c r="B50" s="302"/>
      <c r="C50" s="301"/>
      <c r="D50" s="302"/>
      <c r="E50" s="302"/>
      <c r="F50" s="302"/>
      <c r="G50" s="189"/>
      <c r="H50" s="293"/>
      <c r="I50" s="293"/>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1:31" ht="16.5" thickBot="1">
      <c r="A51" s="266"/>
      <c r="B51" s="302"/>
      <c r="C51" s="301"/>
      <c r="D51" s="302"/>
      <c r="E51" s="302"/>
      <c r="F51" s="302"/>
      <c r="G51" s="342" t="s">
        <v>394</v>
      </c>
      <c r="H51" s="288"/>
      <c r="I51" s="343">
        <f>+I41+I49</f>
        <v>59671032</v>
      </c>
      <c r="J51" s="343">
        <v>59673950</v>
      </c>
      <c r="K51" s="343">
        <f aca="true" t="shared" si="10" ref="K51:P51">+K41+K49</f>
        <v>48098670.35</v>
      </c>
      <c r="L51" s="343" t="e">
        <f t="shared" si="10"/>
        <v>#REF!</v>
      </c>
      <c r="M51" s="343">
        <f t="shared" si="10"/>
        <v>48508994</v>
      </c>
      <c r="N51" s="343" t="e">
        <f t="shared" si="10"/>
        <v>#REF!</v>
      </c>
      <c r="O51" s="343">
        <f t="shared" si="10"/>
        <v>49594683</v>
      </c>
      <c r="P51" s="402" t="e">
        <f t="shared" si="10"/>
        <v>#REF!</v>
      </c>
      <c r="Q51" s="413"/>
      <c r="R51" s="413"/>
      <c r="S51" s="413"/>
      <c r="T51" s="413"/>
      <c r="U51" s="413"/>
      <c r="V51" s="413"/>
      <c r="W51" s="413"/>
      <c r="X51" s="413"/>
      <c r="Y51" s="413"/>
      <c r="Z51" s="413"/>
      <c r="AA51" s="413"/>
      <c r="AB51" s="408" t="e">
        <f>+AB41+AB49</f>
        <v>#REF!</v>
      </c>
      <c r="AC51" s="344">
        <f t="shared" si="7"/>
        <v>205873379.35</v>
      </c>
      <c r="AD51" s="345" t="e">
        <f>J51+L51+N51+P51+R51+T51+V51+Z51+AB51+X51</f>
        <v>#REF!</v>
      </c>
      <c r="AE51" s="343" t="e">
        <f>+AE41+AE49</f>
        <v>#REF!</v>
      </c>
    </row>
    <row r="52" spans="1:31" s="266" customFormat="1" ht="13.5" customHeight="1" thickTop="1">
      <c r="A52" s="26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v>
      </c>
      <c r="J53" s="350">
        <f aca="true" t="shared" si="11" ref="J53:P53">J51-J29</f>
        <v>0</v>
      </c>
      <c r="K53" s="350">
        <f t="shared" si="11"/>
        <v>0.5700000002980232</v>
      </c>
      <c r="L53" s="350" t="e">
        <f t="shared" si="11"/>
        <v>#REF!</v>
      </c>
      <c r="M53" s="350">
        <f t="shared" si="11"/>
        <v>0</v>
      </c>
      <c r="N53" s="350" t="e">
        <f t="shared" si="11"/>
        <v>#REF!</v>
      </c>
      <c r="O53" s="350">
        <f t="shared" si="11"/>
        <v>0.14000000059604645</v>
      </c>
      <c r="P53" s="350" t="e">
        <f t="shared" si="11"/>
        <v>#REF!</v>
      </c>
      <c r="Q53" s="417"/>
      <c r="R53" s="417"/>
      <c r="S53" s="417"/>
      <c r="T53" s="417"/>
      <c r="U53" s="417"/>
      <c r="V53" s="417"/>
      <c r="W53" s="417"/>
      <c r="X53" s="417"/>
      <c r="Y53" s="417"/>
      <c r="Z53" s="417"/>
      <c r="AA53" s="417"/>
      <c r="AB53" s="350" t="e">
        <f>AB51-AB29</f>
        <v>#REF!</v>
      </c>
      <c r="AC53" s="350">
        <f>AC51-AC29</f>
        <v>-1.2900000214576721</v>
      </c>
      <c r="AD53" s="350" t="e">
        <f>AD51-AD29</f>
        <v>#REF!</v>
      </c>
      <c r="AE53" s="350" t="e">
        <f>AE51-AE29</f>
        <v>#REF!</v>
      </c>
    </row>
    <row r="54" spans="2:27" s="264" customFormat="1" ht="15">
      <c r="B54" s="351" t="s">
        <v>188</v>
      </c>
      <c r="C54" s="351"/>
      <c r="D54" s="352"/>
      <c r="E54" s="353"/>
      <c r="F54" s="353"/>
      <c r="G54" s="354"/>
      <c r="H54" s="203"/>
      <c r="I54" s="203"/>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356" customFormat="1" ht="15">
      <c r="A59" s="264"/>
      <c r="B59" s="355"/>
      <c r="D59" s="237"/>
      <c r="E59" s="238"/>
      <c r="F59" s="208"/>
      <c r="G59" s="208"/>
      <c r="H59" s="208"/>
      <c r="I59" s="208"/>
      <c r="J59" s="208"/>
      <c r="K59" s="208"/>
      <c r="L59" s="208"/>
      <c r="M59" s="208"/>
      <c r="Q59" s="379"/>
      <c r="R59" s="379"/>
      <c r="S59" s="379"/>
      <c r="T59" s="379"/>
      <c r="U59" s="379"/>
      <c r="V59" s="379"/>
      <c r="W59" s="379"/>
      <c r="X59" s="379"/>
      <c r="Y59" s="379"/>
      <c r="Z59" s="379"/>
      <c r="AA59" s="379"/>
    </row>
    <row r="60" spans="1:27" s="356" customFormat="1" ht="15">
      <c r="A60" s="264"/>
      <c r="B60" s="264"/>
      <c r="C60" s="237"/>
      <c r="D60" s="236"/>
      <c r="E60" s="238"/>
      <c r="F60" s="208"/>
      <c r="G60" s="208"/>
      <c r="H60" s="208"/>
      <c r="I60" s="208"/>
      <c r="J60" s="208"/>
      <c r="K60" s="208"/>
      <c r="L60" s="208"/>
      <c r="M60" s="208"/>
      <c r="Q60" s="379"/>
      <c r="R60" s="379"/>
      <c r="S60" s="379"/>
      <c r="T60" s="379"/>
      <c r="U60" s="379"/>
      <c r="V60" s="379"/>
      <c r="W60" s="379"/>
      <c r="X60" s="379"/>
      <c r="Y60" s="379"/>
      <c r="Z60" s="379"/>
      <c r="AA60" s="379"/>
    </row>
    <row r="61" spans="1:27" s="356" customFormat="1" ht="15">
      <c r="A61" s="264"/>
      <c r="B61" s="264"/>
      <c r="C61" s="237"/>
      <c r="D61" s="236"/>
      <c r="E61" s="238"/>
      <c r="F61" s="208"/>
      <c r="G61" s="208"/>
      <c r="H61" s="208"/>
      <c r="I61" s="208"/>
      <c r="J61" s="208"/>
      <c r="K61" s="208"/>
      <c r="L61" s="208"/>
      <c r="M61" s="208"/>
      <c r="Q61" s="379"/>
      <c r="R61" s="379"/>
      <c r="S61" s="379"/>
      <c r="T61" s="379"/>
      <c r="U61" s="379"/>
      <c r="V61" s="379"/>
      <c r="W61" s="379"/>
      <c r="X61" s="379"/>
      <c r="Y61" s="379"/>
      <c r="Z61" s="379"/>
      <c r="AA61" s="379"/>
    </row>
    <row r="62" spans="1:27" s="357" customFormat="1" ht="15">
      <c r="A62" s="261"/>
      <c r="B62" s="261"/>
      <c r="C62" s="237"/>
      <c r="D62" s="236"/>
      <c r="E62" s="238"/>
      <c r="F62" s="208"/>
      <c r="G62" s="208"/>
      <c r="H62" s="208"/>
      <c r="I62" s="208"/>
      <c r="J62" s="208"/>
      <c r="K62" s="208"/>
      <c r="L62" s="208"/>
      <c r="M62" s="208"/>
      <c r="Q62" s="335"/>
      <c r="R62" s="335"/>
      <c r="S62" s="335"/>
      <c r="T62" s="335"/>
      <c r="U62" s="335"/>
      <c r="V62" s="335"/>
      <c r="W62" s="335"/>
      <c r="X62" s="335"/>
      <c r="Y62" s="335"/>
      <c r="Z62" s="335"/>
      <c r="AA62" s="335"/>
    </row>
    <row r="63" spans="1:27" s="359" customFormat="1" ht="15">
      <c r="A63" s="261"/>
      <c r="B63" s="358"/>
      <c r="D63" s="237"/>
      <c r="E63" s="211"/>
      <c r="F63" s="357"/>
      <c r="G63" s="357"/>
      <c r="H63" s="259"/>
      <c r="I63" s="259"/>
      <c r="J63" s="259"/>
      <c r="K63" s="259"/>
      <c r="L63" s="210"/>
      <c r="M63" s="210"/>
      <c r="Q63" s="188"/>
      <c r="R63" s="188"/>
      <c r="S63" s="188"/>
      <c r="T63" s="188"/>
      <c r="U63" s="188"/>
      <c r="V63" s="188"/>
      <c r="W63" s="188"/>
      <c r="X63" s="188"/>
      <c r="Y63" s="188"/>
      <c r="Z63" s="188"/>
      <c r="AA63" s="188"/>
    </row>
    <row r="64" spans="1:27" s="359" customFormat="1" ht="15">
      <c r="A64" s="261"/>
      <c r="B64" s="358"/>
      <c r="D64" s="237"/>
      <c r="E64" s="211"/>
      <c r="F64" s="357"/>
      <c r="G64" s="357"/>
      <c r="H64" s="259"/>
      <c r="I64" s="259"/>
      <c r="J64" s="259"/>
      <c r="K64" s="259"/>
      <c r="L64" s="210"/>
      <c r="M64" s="210"/>
      <c r="Q64" s="188"/>
      <c r="R64" s="188"/>
      <c r="S64" s="188"/>
      <c r="T64" s="188"/>
      <c r="U64" s="188"/>
      <c r="V64" s="188"/>
      <c r="W64" s="188"/>
      <c r="X64" s="188"/>
      <c r="Y64" s="188"/>
      <c r="Z64" s="188"/>
      <c r="AA64" s="188"/>
    </row>
    <row r="65" spans="1:13" s="357" customFormat="1" ht="15">
      <c r="A65" s="261"/>
      <c r="B65" s="261"/>
      <c r="C65" s="237"/>
      <c r="D65" s="212"/>
      <c r="E65" s="211"/>
      <c r="F65" s="210"/>
      <c r="G65" s="212"/>
      <c r="H65" s="212"/>
      <c r="I65" s="212"/>
      <c r="J65" s="210"/>
      <c r="K65" s="210"/>
      <c r="L65" s="212"/>
      <c r="M65" s="212"/>
    </row>
    <row r="66" spans="1:13" s="357" customFormat="1" ht="15">
      <c r="A66" s="261"/>
      <c r="B66" s="261"/>
      <c r="C66" s="237"/>
      <c r="D66" s="212"/>
      <c r="E66" s="211"/>
      <c r="F66" s="210"/>
      <c r="G66" s="212"/>
      <c r="H66" s="212"/>
      <c r="I66" s="212"/>
      <c r="J66" s="210"/>
      <c r="K66" s="210"/>
      <c r="L66" s="212"/>
      <c r="M66" s="212"/>
    </row>
    <row r="67" spans="1:13" s="357" customFormat="1" ht="15">
      <c r="A67" s="261"/>
      <c r="B67" s="261"/>
      <c r="C67" s="237"/>
      <c r="D67" s="236"/>
      <c r="E67" s="212"/>
      <c r="F67" s="212"/>
      <c r="G67" s="212"/>
      <c r="H67" s="212"/>
      <c r="I67" s="212"/>
      <c r="J67" s="212"/>
      <c r="K67" s="212"/>
      <c r="L67" s="212"/>
      <c r="M67" s="212"/>
    </row>
    <row r="68" spans="1:13" s="357" customFormat="1" ht="15">
      <c r="A68" s="261"/>
      <c r="B68" s="355"/>
      <c r="C68" s="237"/>
      <c r="D68" s="359"/>
      <c r="E68" s="238"/>
      <c r="F68" s="208"/>
      <c r="G68" s="208"/>
      <c r="H68" s="208"/>
      <c r="I68" s="208"/>
      <c r="J68" s="208"/>
      <c r="K68" s="208"/>
      <c r="L68" s="208"/>
      <c r="M68" s="208"/>
    </row>
    <row r="69" spans="1:13" s="357" customFormat="1" ht="15">
      <c r="A69" s="261"/>
      <c r="B69" s="355"/>
      <c r="C69" s="237"/>
      <c r="D69" s="359"/>
      <c r="E69" s="238"/>
      <c r="F69" s="208"/>
      <c r="G69" s="208"/>
      <c r="H69" s="208"/>
      <c r="I69" s="208"/>
      <c r="J69" s="208"/>
      <c r="K69" s="208"/>
      <c r="L69" s="208"/>
      <c r="M69" s="208"/>
    </row>
    <row r="70" spans="1:13" s="357" customFormat="1" ht="15">
      <c r="A70" s="261"/>
      <c r="B70" s="355"/>
      <c r="C70" s="237"/>
      <c r="D70" s="359"/>
      <c r="E70" s="240"/>
      <c r="F70" s="208"/>
      <c r="G70" s="212"/>
      <c r="H70" s="212"/>
      <c r="I70" s="212"/>
      <c r="J70" s="208"/>
      <c r="K70" s="208"/>
      <c r="L70" s="208"/>
      <c r="M70" s="208"/>
    </row>
    <row r="71" spans="1:13" s="357" customFormat="1" ht="15">
      <c r="A71" s="261"/>
      <c r="B71" s="355"/>
      <c r="C71" s="237"/>
      <c r="D71" s="359"/>
      <c r="E71" s="240"/>
      <c r="F71" s="208"/>
      <c r="G71" s="212"/>
      <c r="H71" s="212"/>
      <c r="I71" s="212"/>
      <c r="J71" s="208"/>
      <c r="K71" s="208"/>
      <c r="L71" s="208"/>
      <c r="M71" s="208"/>
    </row>
    <row r="72" spans="1:13" s="359" customFormat="1" ht="15">
      <c r="A72" s="261"/>
      <c r="B72" s="237"/>
      <c r="C72" s="236"/>
      <c r="D72" s="357"/>
      <c r="E72" s="360"/>
      <c r="F72" s="361"/>
      <c r="G72" s="362"/>
      <c r="H72" s="362"/>
      <c r="I72" s="362"/>
      <c r="J72" s="361"/>
      <c r="K72" s="361"/>
      <c r="L72" s="361"/>
      <c r="M72" s="361"/>
    </row>
    <row r="73" spans="1:13" s="359" customFormat="1" ht="15">
      <c r="A73" s="261"/>
      <c r="B73" s="237"/>
      <c r="C73" s="236"/>
      <c r="D73" s="357"/>
      <c r="E73" s="360"/>
      <c r="F73" s="361"/>
      <c r="G73" s="362"/>
      <c r="H73" s="362"/>
      <c r="I73" s="362"/>
      <c r="J73" s="361"/>
      <c r="K73" s="361"/>
      <c r="L73" s="361"/>
      <c r="M73" s="361"/>
    </row>
    <row r="74" spans="1:13" s="357" customFormat="1" ht="15">
      <c r="A74" s="261"/>
      <c r="B74" s="237"/>
      <c r="C74" s="236"/>
      <c r="E74" s="238"/>
      <c r="F74" s="208"/>
      <c r="G74" s="208"/>
      <c r="H74" s="208"/>
      <c r="I74" s="208"/>
      <c r="J74" s="208"/>
      <c r="K74" s="208"/>
      <c r="L74" s="208"/>
      <c r="M74" s="208"/>
    </row>
    <row r="75" spans="1:13" s="359" customFormat="1" ht="15">
      <c r="A75" s="261"/>
      <c r="B75" s="237"/>
      <c r="C75" s="241"/>
      <c r="D75" s="357"/>
      <c r="E75" s="238"/>
      <c r="F75" s="210"/>
      <c r="G75" s="210"/>
      <c r="H75" s="210"/>
      <c r="I75" s="210"/>
      <c r="J75" s="210"/>
      <c r="K75" s="210"/>
      <c r="L75" s="210"/>
      <c r="M75" s="210"/>
    </row>
    <row r="76" spans="1:13" s="359" customFormat="1" ht="15">
      <c r="A76" s="261"/>
      <c r="B76" s="237"/>
      <c r="C76" s="242"/>
      <c r="D76" s="357"/>
      <c r="E76" s="238"/>
      <c r="F76" s="210"/>
      <c r="G76" s="210"/>
      <c r="H76" s="210"/>
      <c r="I76" s="210"/>
      <c r="J76" s="210"/>
      <c r="K76" s="210"/>
      <c r="L76" s="210"/>
      <c r="M76" s="210"/>
    </row>
    <row r="77" spans="1:13" s="359" customFormat="1" ht="15">
      <c r="A77" s="261"/>
      <c r="B77" s="237"/>
      <c r="C77" s="236"/>
      <c r="D77" s="357"/>
      <c r="E77" s="238"/>
      <c r="F77" s="210"/>
      <c r="G77" s="210"/>
      <c r="H77" s="210"/>
      <c r="I77" s="210"/>
      <c r="J77" s="210"/>
      <c r="K77" s="210"/>
      <c r="L77" s="210"/>
      <c r="M77" s="210"/>
    </row>
    <row r="78" spans="1:13" s="359" customFormat="1" ht="15">
      <c r="A78" s="261"/>
      <c r="B78" s="237"/>
      <c r="C78" s="236"/>
      <c r="D78" s="357"/>
      <c r="E78" s="238"/>
      <c r="F78" s="210"/>
      <c r="G78" s="210"/>
      <c r="H78" s="210"/>
      <c r="I78" s="210"/>
      <c r="J78" s="210"/>
      <c r="K78" s="210"/>
      <c r="L78" s="210"/>
      <c r="M78" s="210"/>
    </row>
    <row r="79" spans="1:13" s="359" customFormat="1" ht="15">
      <c r="A79" s="261"/>
      <c r="B79" s="355" t="s">
        <v>192</v>
      </c>
      <c r="C79" s="237"/>
      <c r="E79" s="238"/>
      <c r="F79" s="210"/>
      <c r="G79" s="210"/>
      <c r="H79" s="210"/>
      <c r="I79" s="210"/>
      <c r="J79" s="210"/>
      <c r="K79" s="210"/>
      <c r="L79" s="210"/>
      <c r="M79" s="210"/>
    </row>
  </sheetData>
  <sheetProtection/>
  <mergeCells count="5">
    <mergeCell ref="P5:P6"/>
    <mergeCell ref="E58:L58"/>
    <mergeCell ref="B55:G56"/>
    <mergeCell ref="H55:H56"/>
    <mergeCell ref="N5:N6"/>
  </mergeCells>
  <printOptions horizontalCentered="1"/>
  <pageMargins left="0.75" right="0.33" top="0.64" bottom="0.41" header="0.25" footer="0.15"/>
  <pageSetup fitToHeight="1" fitToWidth="1" horizontalDpi="300" verticalDpi="300" orientation="landscape" paperSize="5" scale="67" r:id="rId1"/>
</worksheet>
</file>

<file path=xl/worksheets/sheet10.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I3" sqref="I3:O3"/>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6" t="s">
        <v>404</v>
      </c>
      <c r="J5" s="516" t="s">
        <v>404</v>
      </c>
      <c r="K5" s="516" t="s">
        <v>404</v>
      </c>
      <c r="L5" s="502" t="s">
        <v>404</v>
      </c>
      <c r="M5" s="516" t="s">
        <v>404</v>
      </c>
      <c r="N5" s="502" t="s">
        <v>404</v>
      </c>
      <c r="O5" s="516" t="s">
        <v>404</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421" t="s">
        <v>403</v>
      </c>
      <c r="J6" s="421" t="s">
        <v>403</v>
      </c>
      <c r="K6" s="421" t="s">
        <v>403</v>
      </c>
      <c r="L6" s="420" t="s">
        <v>403</v>
      </c>
      <c r="M6" s="421" t="s">
        <v>403</v>
      </c>
      <c r="N6" s="420" t="s">
        <v>403</v>
      </c>
      <c r="O6" s="421" t="s">
        <v>403</v>
      </c>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95815571</v>
      </c>
      <c r="J10" s="434">
        <v>-436229836.41</v>
      </c>
      <c r="K10" s="434">
        <v>134578667.8</v>
      </c>
      <c r="L10" s="434" t="e">
        <f>#REF!</f>
        <v>#REF!</v>
      </c>
      <c r="M10" s="434">
        <v>94321629</v>
      </c>
      <c r="N10" s="434" t="e">
        <f>#REF!</f>
        <v>#REF!</v>
      </c>
      <c r="O10" s="434">
        <v>108805696</v>
      </c>
      <c r="P10" s="434" t="e">
        <f>#REF!</f>
        <v>#REF!</v>
      </c>
      <c r="Q10" s="434"/>
      <c r="R10" s="434"/>
      <c r="S10" s="434"/>
      <c r="T10" s="434"/>
      <c r="U10" s="434"/>
      <c r="V10" s="434"/>
      <c r="W10" s="434"/>
      <c r="X10" s="434"/>
      <c r="Y10" s="434"/>
      <c r="Z10" s="434"/>
      <c r="AA10" s="434"/>
      <c r="AB10" s="434" t="e">
        <f>#REF!</f>
        <v>#REF!</v>
      </c>
      <c r="AC10" s="434">
        <f>I10+K10+M10+O10+Q10+S10+U10+Y10+AA10+W10+1</f>
        <v>433521564.8</v>
      </c>
      <c r="AD10" s="434" t="e">
        <f>J10+L10+N10+P10+R10+T10+V10+Z10+AB10+X10</f>
        <v>#REF!</v>
      </c>
      <c r="AE10" s="349" t="e">
        <f>#REF!</f>
        <v>#REF!</v>
      </c>
      <c r="AF10" s="185"/>
    </row>
    <row r="11" spans="2:32" ht="15.75">
      <c r="B11" s="291"/>
      <c r="C11" s="435"/>
      <c r="D11" s="296"/>
      <c r="E11" s="291"/>
      <c r="F11" s="291"/>
      <c r="G11" s="311" t="s">
        <v>389</v>
      </c>
      <c r="H11" s="347"/>
      <c r="I11" s="174">
        <v>95815571</v>
      </c>
      <c r="J11" s="174">
        <v>-436229836.41</v>
      </c>
      <c r="K11" s="174">
        <f>SUM(K9:K10)</f>
        <v>134578667.8</v>
      </c>
      <c r="L11" s="174" t="e">
        <f>SUM(L9:L10)</f>
        <v>#REF!</v>
      </c>
      <c r="M11" s="174">
        <f>+M9+M10</f>
        <v>94321629</v>
      </c>
      <c r="N11" s="174" t="e">
        <f>+N9+N10</f>
        <v>#REF!</v>
      </c>
      <c r="O11" s="174">
        <f>SUM(O9:O10)</f>
        <v>108805696</v>
      </c>
      <c r="P11" s="436" t="e">
        <f>SUM(P9:P10)</f>
        <v>#REF!</v>
      </c>
      <c r="Q11" s="416"/>
      <c r="R11" s="416"/>
      <c r="S11" s="416"/>
      <c r="T11" s="416"/>
      <c r="U11" s="416"/>
      <c r="V11" s="416"/>
      <c r="W11" s="416"/>
      <c r="X11" s="416"/>
      <c r="Y11" s="416"/>
      <c r="Z11" s="416"/>
      <c r="AA11" s="416"/>
      <c r="AB11" s="437" t="e">
        <f>+AB9+AB10</f>
        <v>#REF!</v>
      </c>
      <c r="AC11" s="438">
        <f>I11+K11+M11+O11+Q11+S11+U11+Y11+AA11+W11+1</f>
        <v>433521564.8</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75000</v>
      </c>
      <c r="J17" s="434">
        <v>965618</v>
      </c>
      <c r="K17" s="434">
        <v>165167366</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165242366</v>
      </c>
      <c r="AD17" s="434" t="e">
        <f t="shared" si="0"/>
        <v>#REF!</v>
      </c>
      <c r="AE17" s="349" t="e">
        <f>#REF!</f>
        <v>#REF!</v>
      </c>
    </row>
    <row r="18" spans="2:31" ht="15.75">
      <c r="B18" s="291"/>
      <c r="C18" s="297"/>
      <c r="D18" s="249" t="s">
        <v>243</v>
      </c>
      <c r="E18" s="297" t="s">
        <v>314</v>
      </c>
      <c r="F18" s="297"/>
      <c r="G18" s="442"/>
      <c r="H18" s="347" t="s">
        <v>166</v>
      </c>
      <c r="I18" s="347"/>
      <c r="J18" s="434"/>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75000</v>
      </c>
      <c r="J19" s="174">
        <v>965618</v>
      </c>
      <c r="K19" s="174">
        <f>SUM(K15:K18)</f>
        <v>165167366</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165242366</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1415203</v>
      </c>
      <c r="J22" s="434">
        <v>35076024</v>
      </c>
      <c r="K22" s="434">
        <v>414995</v>
      </c>
      <c r="L22" s="434" t="e">
        <f>#REF!</f>
        <v>#REF!</v>
      </c>
      <c r="M22" s="434">
        <v>223790790</v>
      </c>
      <c r="N22" s="434" t="e">
        <f>#REF!</f>
        <v>#REF!</v>
      </c>
      <c r="O22" s="434">
        <v>49224618</v>
      </c>
      <c r="P22" s="434" t="e">
        <f>#REF!</f>
        <v>#REF!</v>
      </c>
      <c r="Q22" s="434"/>
      <c r="R22" s="434"/>
      <c r="S22" s="434"/>
      <c r="T22" s="434"/>
      <c r="U22" s="434"/>
      <c r="V22" s="434"/>
      <c r="W22" s="434"/>
      <c r="X22" s="434"/>
      <c r="Y22" s="434"/>
      <c r="Z22" s="434"/>
      <c r="AA22" s="434"/>
      <c r="AB22" s="434" t="e">
        <f>#REF!</f>
        <v>#REF!</v>
      </c>
      <c r="AC22" s="434">
        <f aca="true" t="shared" si="1" ref="AC22:AD24">I22+K22+M22+O22+Q22+S22+U22+Y22+AA22+W22</f>
        <v>274845606</v>
      </c>
      <c r="AD22" s="434" t="e">
        <f t="shared" si="1"/>
        <v>#REF!</v>
      </c>
      <c r="AE22" s="349" t="e">
        <f>#REF!</f>
        <v>#REF!</v>
      </c>
    </row>
    <row r="23" spans="2:32" ht="15.75">
      <c r="B23" s="291"/>
      <c r="C23" s="297"/>
      <c r="D23" s="249" t="s">
        <v>243</v>
      </c>
      <c r="E23" s="297" t="s">
        <v>338</v>
      </c>
      <c r="F23" s="297"/>
      <c r="G23" s="442"/>
      <c r="H23" s="347" t="s">
        <v>168</v>
      </c>
      <c r="I23" s="347">
        <v>148838310</v>
      </c>
      <c r="J23" s="434">
        <v>83385909.82</v>
      </c>
      <c r="K23" s="434">
        <v>7658298.98</v>
      </c>
      <c r="L23" s="434" t="e">
        <f>#REF!</f>
        <v>#REF!</v>
      </c>
      <c r="M23" s="434">
        <f>224878290-M22</f>
        <v>1087500</v>
      </c>
      <c r="N23" s="434" t="e">
        <f>#REF!</f>
        <v>#REF!</v>
      </c>
      <c r="O23" s="434">
        <f>51387052-O22</f>
        <v>2162434</v>
      </c>
      <c r="P23" s="434" t="e">
        <f>#REF!</f>
        <v>#REF!</v>
      </c>
      <c r="Q23" s="434"/>
      <c r="R23" s="434"/>
      <c r="S23" s="434"/>
      <c r="T23" s="434"/>
      <c r="U23" s="434"/>
      <c r="V23" s="434"/>
      <c r="W23" s="434"/>
      <c r="X23" s="434"/>
      <c r="Y23" s="434"/>
      <c r="Z23" s="434"/>
      <c r="AA23" s="434"/>
      <c r="AB23" s="434" t="e">
        <f>#REF!</f>
        <v>#REF!</v>
      </c>
      <c r="AC23" s="434">
        <f t="shared" si="1"/>
        <v>159746542.98</v>
      </c>
      <c r="AD23" s="434" t="e">
        <f t="shared" si="1"/>
        <v>#REF!</v>
      </c>
      <c r="AE23" s="349" t="e">
        <f>#REF!</f>
        <v>#REF!</v>
      </c>
      <c r="AF23" s="185"/>
    </row>
    <row r="24" spans="2:31" ht="15.75">
      <c r="B24" s="291"/>
      <c r="C24" s="297"/>
      <c r="D24" s="249" t="s">
        <v>252</v>
      </c>
      <c r="E24" s="297" t="s">
        <v>339</v>
      </c>
      <c r="F24" s="297"/>
      <c r="G24" s="442"/>
      <c r="H24" s="347" t="s">
        <v>169</v>
      </c>
      <c r="I24" s="347"/>
      <c r="J24" s="434"/>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-130096406</v>
      </c>
      <c r="J25" s="434">
        <v>493897479</v>
      </c>
      <c r="K25" s="434">
        <v>-155375424.4</v>
      </c>
      <c r="L25" s="434">
        <v>-56414291.370000035</v>
      </c>
      <c r="M25" s="434">
        <v>-159071956</v>
      </c>
      <c r="N25" s="434">
        <v>-937002649.94</v>
      </c>
      <c r="O25" s="434">
        <v>4314925</v>
      </c>
      <c r="P25" s="434">
        <v>-196312660.29999998</v>
      </c>
      <c r="Q25" s="434"/>
      <c r="R25" s="434"/>
      <c r="S25" s="434"/>
      <c r="T25" s="434"/>
      <c r="U25" s="434"/>
      <c r="V25" s="434"/>
      <c r="W25" s="434"/>
      <c r="X25" s="434"/>
      <c r="Y25" s="434"/>
      <c r="Z25" s="434"/>
      <c r="AA25" s="434"/>
      <c r="AB25" s="434">
        <f>5274209230-5200000</f>
        <v>5269009230</v>
      </c>
      <c r="AC25" s="434">
        <f>I25+K25+M25+O25+Q25+S25+U25+Y25+AA25+W25+1</f>
        <v>-440228860.4</v>
      </c>
      <c r="AD25" s="434">
        <f>J25+L25+N25+P25+R25+T25+V25+Z25+AB25+X25</f>
        <v>4573177107.39</v>
      </c>
      <c r="AE25" s="349">
        <v>0.25999951362609863</v>
      </c>
    </row>
    <row r="26" spans="2:32" ht="16.5" thickBot="1">
      <c r="B26" s="291"/>
      <c r="C26" s="296"/>
      <c r="D26" s="291"/>
      <c r="E26" s="291"/>
      <c r="F26" s="291"/>
      <c r="G26" s="311" t="s">
        <v>391</v>
      </c>
      <c r="H26" s="347"/>
      <c r="I26" s="446">
        <v>20157107</v>
      </c>
      <c r="J26" s="446">
        <v>612359412.8199999</v>
      </c>
      <c r="K26" s="446">
        <f>SUM(K21:K25)</f>
        <v>-147302130.42000002</v>
      </c>
      <c r="L26" s="446" t="e">
        <f>SUM(L21:L25)</f>
        <v>#REF!</v>
      </c>
      <c r="M26" s="446">
        <f>SUM(M21:M25)</f>
        <v>65806334</v>
      </c>
      <c r="N26" s="446" t="e">
        <f>SUM(N21:N25)</f>
        <v>#REF!</v>
      </c>
      <c r="O26" s="446">
        <f>SUM(O22:O25)</f>
        <v>55701977</v>
      </c>
      <c r="P26" s="447" t="e">
        <f>SUM(P22:P25)</f>
        <v>#REF!</v>
      </c>
      <c r="Q26" s="416"/>
      <c r="R26" s="416"/>
      <c r="S26" s="416"/>
      <c r="T26" s="416"/>
      <c r="U26" s="416"/>
      <c r="V26" s="416"/>
      <c r="W26" s="416"/>
      <c r="X26" s="416"/>
      <c r="Y26" s="416"/>
      <c r="Z26" s="416"/>
      <c r="AA26" s="416"/>
      <c r="AB26" s="448" t="e">
        <f>SUM(AB21:AB25)</f>
        <v>#REF!</v>
      </c>
      <c r="AC26" s="449">
        <f>I26+K26+M26+O26+Q26+S26+U26+Y26+AA26+W26+1</f>
        <v>-5636711.420000017</v>
      </c>
      <c r="AD26" s="449" t="e">
        <f>J26+L26+N26+P26+R26+T26+V26+Z26+AB26+X26</f>
        <v>#REF!</v>
      </c>
      <c r="AE26" s="440" t="e">
        <f>SUM(AE21:AE25)</f>
        <v>#REF!</v>
      </c>
      <c r="AF26" s="264"/>
    </row>
    <row r="27" spans="2:31" ht="16.5" thickTop="1">
      <c r="B27" s="291"/>
      <c r="C27" s="250">
        <v>-4</v>
      </c>
      <c r="D27" s="32" t="s">
        <v>315</v>
      </c>
      <c r="E27" s="291"/>
      <c r="F27" s="291"/>
      <c r="G27" s="311"/>
      <c r="H27" s="347" t="s">
        <v>170</v>
      </c>
      <c r="I27" s="450">
        <v>26143776</v>
      </c>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26143776</v>
      </c>
      <c r="AD27" s="457" t="e">
        <f>J27+L27+N27+P27+R27+T27+V27+Z27+AB27+X27</f>
        <v>#REF!</v>
      </c>
      <c r="AE27" s="330" t="e">
        <f>#REF!</f>
        <v>#REF!</v>
      </c>
    </row>
    <row r="28" spans="2:32" ht="15.75">
      <c r="B28" s="291"/>
      <c r="C28" s="250"/>
      <c r="F28" s="291"/>
      <c r="G28" s="331" t="s">
        <v>316</v>
      </c>
      <c r="H28" s="347"/>
      <c r="I28" s="347">
        <v>26143776</v>
      </c>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26143776</v>
      </c>
      <c r="AD28" s="434" t="e">
        <f>J28+L28+N28+P28+R28+T28+V28+Z28+AB28+X28</f>
        <v>#REF!</v>
      </c>
      <c r="AE28" s="332" t="e">
        <f>AE27</f>
        <v>#REF!</v>
      </c>
      <c r="AF28" s="264"/>
    </row>
    <row r="29" spans="2:32" ht="16.5" thickBot="1">
      <c r="B29" s="291"/>
      <c r="C29" s="296"/>
      <c r="D29" s="291"/>
      <c r="F29" s="291"/>
      <c r="G29" s="333" t="s">
        <v>317</v>
      </c>
      <c r="H29" s="332"/>
      <c r="I29" s="334">
        <v>142191454</v>
      </c>
      <c r="J29" s="334">
        <v>177095195.4099999</v>
      </c>
      <c r="K29" s="334">
        <f aca="true" t="shared" si="2" ref="K29:P29">K28+K26+K19+K11</f>
        <v>152443903.38</v>
      </c>
      <c r="L29" s="334" t="e">
        <f t="shared" si="2"/>
        <v>#REF!</v>
      </c>
      <c r="M29" s="334">
        <f t="shared" si="2"/>
        <v>160127963</v>
      </c>
      <c r="N29" s="334" t="e">
        <f t="shared" si="2"/>
        <v>#REF!</v>
      </c>
      <c r="O29" s="334">
        <f t="shared" si="2"/>
        <v>164507673</v>
      </c>
      <c r="P29" s="401" t="e">
        <f t="shared" si="2"/>
        <v>#REF!</v>
      </c>
      <c r="Q29" s="416"/>
      <c r="R29" s="416"/>
      <c r="S29" s="416"/>
      <c r="T29" s="416"/>
      <c r="U29" s="416"/>
      <c r="V29" s="416"/>
      <c r="W29" s="416"/>
      <c r="X29" s="416"/>
      <c r="Y29" s="416"/>
      <c r="Z29" s="416"/>
      <c r="AA29" s="416"/>
      <c r="AB29" s="407" t="e">
        <f>AB28+AB26+AB19+AB11</f>
        <v>#REF!</v>
      </c>
      <c r="AC29" s="245">
        <f>AC11+AC19+AC26+AC28</f>
        <v>619270995.3799999</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131243838</v>
      </c>
      <c r="J33" s="434">
        <v>31501136</v>
      </c>
      <c r="K33" s="434">
        <v>137965289.1</v>
      </c>
      <c r="L33" s="434">
        <v>1927719.1500000001</v>
      </c>
      <c r="M33" s="434">
        <v>142216082</v>
      </c>
      <c r="N33" s="434">
        <v>9484163.41</v>
      </c>
      <c r="O33" s="434">
        <v>145452762</v>
      </c>
      <c r="P33" s="434">
        <v>34728931.88999999</v>
      </c>
      <c r="Q33" s="434"/>
      <c r="R33" s="434"/>
      <c r="S33" s="434"/>
      <c r="T33" s="434"/>
      <c r="U33" s="434"/>
      <c r="V33" s="434"/>
      <c r="W33" s="434"/>
      <c r="X33" s="434"/>
      <c r="Y33" s="434"/>
      <c r="Z33" s="443"/>
      <c r="AA33" s="443"/>
      <c r="AB33" s="434">
        <v>5470799.6</v>
      </c>
      <c r="AC33" s="434">
        <f>I33+K33+M33+O33+Q33+S33+U33+Y33+AA33+W33-1</f>
        <v>556877970.1</v>
      </c>
      <c r="AD33" s="434">
        <f>J33+L33+N33+P33+R33+T33+V33+Z33+AB33+X33</f>
        <v>83112750.04999998</v>
      </c>
      <c r="AE33" s="349">
        <v>335773865.227</v>
      </c>
    </row>
    <row r="34" spans="2:31" ht="15.75">
      <c r="B34" s="291"/>
      <c r="C34" s="336"/>
      <c r="D34" s="297"/>
      <c r="E34" s="249" t="s">
        <v>265</v>
      </c>
      <c r="F34" s="338" t="s">
        <v>204</v>
      </c>
      <c r="G34" s="442"/>
      <c r="H34" s="347" t="s">
        <v>171</v>
      </c>
      <c r="I34" s="347"/>
      <c r="J34" s="434">
        <v>88050619</v>
      </c>
      <c r="K34" s="434"/>
      <c r="L34" s="434">
        <v>0</v>
      </c>
      <c r="M34" s="434"/>
      <c r="N34" s="434"/>
      <c r="O34" s="434">
        <v>156448</v>
      </c>
      <c r="P34" s="434">
        <v>10917555</v>
      </c>
      <c r="Q34" s="434"/>
      <c r="R34" s="434"/>
      <c r="S34" s="434"/>
      <c r="T34" s="434"/>
      <c r="U34" s="434"/>
      <c r="V34" s="434"/>
      <c r="W34" s="434"/>
      <c r="X34" s="434"/>
      <c r="Y34" s="434"/>
      <c r="Z34" s="434"/>
      <c r="AA34" s="434"/>
      <c r="AB34" s="434">
        <v>184835</v>
      </c>
      <c r="AC34" s="434">
        <f>I34+K34+M34+O34+Q34+S34+U34+Y34+AA34+W34</f>
        <v>156448</v>
      </c>
      <c r="AD34" s="434">
        <f>J34+L34+N34+P34+R34+T34+V34+Z34+AB34+X34</f>
        <v>99153009</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900000</v>
      </c>
      <c r="J38" s="434">
        <v>3219052</v>
      </c>
      <c r="K38" s="434">
        <v>900000</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1800000</v>
      </c>
      <c r="AD38" s="434" t="e">
        <f>J38+L38+N38+P38+R38+T38+V38+Z38+AB38+X38</f>
        <v>#REF!</v>
      </c>
      <c r="AE38" s="349" t="e">
        <f>#REF!</f>
        <v>#REF!</v>
      </c>
    </row>
    <row r="39" spans="2:31" ht="15.75">
      <c r="B39" s="291"/>
      <c r="C39" s="336"/>
      <c r="D39" s="249" t="s">
        <v>274</v>
      </c>
      <c r="E39" s="297" t="s">
        <v>349</v>
      </c>
      <c r="F39" s="297"/>
      <c r="G39" s="442"/>
      <c r="H39" s="347" t="s">
        <v>173</v>
      </c>
      <c r="I39" s="347"/>
      <c r="J39" s="434">
        <v>1330894</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1330894</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132143838</v>
      </c>
      <c r="J41" s="174">
        <v>124101701</v>
      </c>
      <c r="K41" s="174">
        <f aca="true" t="shared" si="3" ref="K41:P41">SUM(K33:K40)</f>
        <v>138865289.1</v>
      </c>
      <c r="L41" s="174" t="e">
        <f t="shared" si="3"/>
        <v>#REF!</v>
      </c>
      <c r="M41" s="174">
        <f t="shared" si="3"/>
        <v>142216082</v>
      </c>
      <c r="N41" s="174" t="e">
        <f t="shared" si="3"/>
        <v>#REF!</v>
      </c>
      <c r="O41" s="174">
        <f t="shared" si="3"/>
        <v>145609210</v>
      </c>
      <c r="P41" s="436" t="e">
        <f t="shared" si="3"/>
        <v>#REF!</v>
      </c>
      <c r="Q41" s="416"/>
      <c r="R41" s="416"/>
      <c r="S41" s="416"/>
      <c r="T41" s="416"/>
      <c r="U41" s="416"/>
      <c r="V41" s="416"/>
      <c r="W41" s="416"/>
      <c r="X41" s="416"/>
      <c r="Y41" s="416"/>
      <c r="Z41" s="416"/>
      <c r="AA41" s="416"/>
      <c r="AB41" s="308" t="e">
        <f>SUM(AB33:AB40)</f>
        <v>#REF!</v>
      </c>
      <c r="AC41" s="444">
        <f>I41+K41+M41+O41+Q41+S41+U41+Y41+AA41+W41-1</f>
        <v>558834418.1</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c r="J44" s="434"/>
      <c r="K44" s="434">
        <v>0</v>
      </c>
      <c r="L44" s="434" t="e">
        <f>#REF!</f>
        <v>#REF!</v>
      </c>
      <c r="M44" s="434">
        <v>0</v>
      </c>
      <c r="N44" s="434" t="e">
        <f>#REF!</f>
        <v>#REF!</v>
      </c>
      <c r="O44" s="434"/>
      <c r="P44" s="434">
        <v>0</v>
      </c>
      <c r="Q44" s="434"/>
      <c r="R44" s="434"/>
      <c r="S44" s="434"/>
      <c r="T44" s="434"/>
      <c r="U44" s="434"/>
      <c r="V44" s="434"/>
      <c r="W44" s="434"/>
      <c r="X44" s="434"/>
      <c r="Y44" s="434"/>
      <c r="Z44" s="434"/>
      <c r="AA44" s="434"/>
      <c r="AB44" s="434">
        <v>0</v>
      </c>
      <c r="AC44" s="434">
        <f aca="true" t="shared" si="4" ref="AC44:AD48">I44+K44+M44+O44+Q44+S44+U44+Y44+AA44+W44</f>
        <v>0</v>
      </c>
      <c r="AD44" s="434" t="e">
        <f t="shared" si="4"/>
        <v>#REF!</v>
      </c>
      <c r="AE44" s="349" t="e">
        <f>#REF!</f>
        <v>#REF!</v>
      </c>
    </row>
    <row r="45" spans="2:31" ht="15.75">
      <c r="B45" s="291"/>
      <c r="C45" s="297"/>
      <c r="D45" s="249" t="s">
        <v>242</v>
      </c>
      <c r="E45" s="297" t="s">
        <v>352</v>
      </c>
      <c r="F45" s="297"/>
      <c r="G45" s="442"/>
      <c r="H45" s="347" t="s">
        <v>175</v>
      </c>
      <c r="I45" s="347">
        <v>1243774</v>
      </c>
      <c r="J45" s="434">
        <v>7112871</v>
      </c>
      <c r="K45" s="434">
        <v>1412380</v>
      </c>
      <c r="L45" s="434">
        <v>0</v>
      </c>
      <c r="M45" s="434">
        <v>850269</v>
      </c>
      <c r="N45" s="434">
        <v>0</v>
      </c>
      <c r="O45" s="434">
        <v>710668</v>
      </c>
      <c r="P45" s="434" t="e">
        <f>#REF!</f>
        <v>#REF!</v>
      </c>
      <c r="Q45" s="434"/>
      <c r="R45" s="434"/>
      <c r="S45" s="434"/>
      <c r="T45" s="434"/>
      <c r="U45" s="434"/>
      <c r="V45" s="434"/>
      <c r="W45" s="434"/>
      <c r="X45" s="434"/>
      <c r="Y45" s="434"/>
      <c r="Z45" s="434"/>
      <c r="AA45" s="434"/>
      <c r="AB45" s="434" t="e">
        <f>#REF!</f>
        <v>#REF!</v>
      </c>
      <c r="AC45" s="434">
        <f t="shared" si="4"/>
        <v>4217091</v>
      </c>
      <c r="AD45" s="434" t="e">
        <f t="shared" si="4"/>
        <v>#REF!</v>
      </c>
      <c r="AE45" s="349" t="e">
        <f>#REF!</f>
        <v>#REF!</v>
      </c>
    </row>
    <row r="46" spans="2:31" ht="15.75">
      <c r="B46" s="291"/>
      <c r="C46" s="297"/>
      <c r="D46" s="249" t="s">
        <v>243</v>
      </c>
      <c r="E46" s="297" t="s">
        <v>353</v>
      </c>
      <c r="F46" s="297"/>
      <c r="G46" s="442"/>
      <c r="H46" s="347" t="s">
        <v>176</v>
      </c>
      <c r="I46" s="347">
        <v>6849592</v>
      </c>
      <c r="J46" s="434">
        <v>2637821.24</v>
      </c>
      <c r="K46" s="434">
        <v>2993298</v>
      </c>
      <c r="L46" s="434" t="e">
        <f>#REF!</f>
        <v>#REF!</v>
      </c>
      <c r="M46" s="434">
        <v>2850923</v>
      </c>
      <c r="N46" s="434" t="e">
        <f>#REF!</f>
        <v>#REF!</v>
      </c>
      <c r="O46" s="434">
        <v>1189872</v>
      </c>
      <c r="P46" s="434" t="e">
        <f>#REF!</f>
        <v>#REF!</v>
      </c>
      <c r="Q46" s="434"/>
      <c r="R46" s="434"/>
      <c r="S46" s="434"/>
      <c r="T46" s="434"/>
      <c r="U46" s="434"/>
      <c r="V46" s="434"/>
      <c r="W46" s="434"/>
      <c r="X46" s="434"/>
      <c r="Y46" s="434"/>
      <c r="Z46" s="434"/>
      <c r="AA46" s="434"/>
      <c r="AB46" s="434" t="e">
        <f>#REF!</f>
        <v>#REF!</v>
      </c>
      <c r="AC46" s="434">
        <f t="shared" si="4"/>
        <v>13883685</v>
      </c>
      <c r="AD46" s="434" t="e">
        <f t="shared" si="4"/>
        <v>#REF!</v>
      </c>
      <c r="AE46" s="349" t="e">
        <f>#REF!</f>
        <v>#REF!</v>
      </c>
    </row>
    <row r="47" spans="2:31" ht="15.75">
      <c r="B47" s="291"/>
      <c r="C47" s="297"/>
      <c r="D47" s="249" t="s">
        <v>252</v>
      </c>
      <c r="E47" s="297" t="s">
        <v>354</v>
      </c>
      <c r="F47" s="297"/>
      <c r="G47" s="442"/>
      <c r="H47" s="347" t="s">
        <v>177</v>
      </c>
      <c r="I47" s="347">
        <v>175250</v>
      </c>
      <c r="J47" s="434">
        <v>10187914.9</v>
      </c>
      <c r="K47" s="434">
        <v>1540</v>
      </c>
      <c r="L47" s="434" t="e">
        <f>#REF!</f>
        <v>#REF!</v>
      </c>
      <c r="M47" s="434">
        <v>14210689</v>
      </c>
      <c r="N47" s="434" t="e">
        <f>#REF!</f>
        <v>#REF!</v>
      </c>
      <c r="O47" s="434">
        <v>17154371</v>
      </c>
      <c r="P47" s="434" t="e">
        <f>#REF!</f>
        <v>#REF!</v>
      </c>
      <c r="Q47" s="434"/>
      <c r="R47" s="434"/>
      <c r="S47" s="434"/>
      <c r="T47" s="434"/>
      <c r="U47" s="434"/>
      <c r="V47" s="434"/>
      <c r="W47" s="434"/>
      <c r="X47" s="434"/>
      <c r="Y47" s="434"/>
      <c r="Z47" s="434"/>
      <c r="AA47" s="434"/>
      <c r="AB47" s="434" t="e">
        <f>#REF!</f>
        <v>#REF!</v>
      </c>
      <c r="AC47" s="434">
        <f t="shared" si="4"/>
        <v>31541850</v>
      </c>
      <c r="AD47" s="434" t="e">
        <f t="shared" si="4"/>
        <v>#REF!</v>
      </c>
      <c r="AE47" s="349" t="e">
        <f>#REF!</f>
        <v>#REF!</v>
      </c>
    </row>
    <row r="48" spans="2:31" ht="15.75">
      <c r="B48" s="291"/>
      <c r="C48" s="296"/>
      <c r="D48" s="249" t="s">
        <v>274</v>
      </c>
      <c r="E48" s="297" t="s">
        <v>355</v>
      </c>
      <c r="F48" s="297"/>
      <c r="G48" s="442"/>
      <c r="H48" s="347" t="s">
        <v>178</v>
      </c>
      <c r="I48" s="347">
        <v>1779000</v>
      </c>
      <c r="J48" s="434">
        <v>33054886.63</v>
      </c>
      <c r="K48" s="434">
        <v>9171396</v>
      </c>
      <c r="L48" s="434">
        <v>0</v>
      </c>
      <c r="M48" s="434">
        <v>0</v>
      </c>
      <c r="N48" s="434" t="e">
        <f>#REF!</f>
        <v>#REF!</v>
      </c>
      <c r="O48" s="434">
        <v>0</v>
      </c>
      <c r="P48" s="434" t="e">
        <f>#REF!</f>
        <v>#REF!</v>
      </c>
      <c r="Q48" s="434"/>
      <c r="R48" s="434"/>
      <c r="S48" s="434"/>
      <c r="T48" s="434"/>
      <c r="U48" s="434"/>
      <c r="V48" s="434"/>
      <c r="W48" s="434"/>
      <c r="X48" s="434"/>
      <c r="Y48" s="434"/>
      <c r="Z48" s="434"/>
      <c r="AA48" s="434"/>
      <c r="AB48" s="434">
        <v>0</v>
      </c>
      <c r="AC48" s="434">
        <f t="shared" si="4"/>
        <v>10950396</v>
      </c>
      <c r="AD48" s="460" t="e">
        <f t="shared" si="4"/>
        <v>#REF!</v>
      </c>
      <c r="AE48" s="349" t="e">
        <f>#REF!</f>
        <v>#REF!</v>
      </c>
    </row>
    <row r="49" spans="2:32" ht="15.75">
      <c r="B49" s="291"/>
      <c r="C49" s="296"/>
      <c r="D49" s="291"/>
      <c r="E49" s="291"/>
      <c r="F49" s="291"/>
      <c r="G49" s="311" t="s">
        <v>393</v>
      </c>
      <c r="H49" s="347"/>
      <c r="I49" s="174">
        <v>10047616</v>
      </c>
      <c r="J49" s="174">
        <v>52993493.769999996</v>
      </c>
      <c r="K49" s="174">
        <f aca="true" t="shared" si="5" ref="K49:P49">SUM(K43:K48)</f>
        <v>13578614</v>
      </c>
      <c r="L49" s="174" t="e">
        <f t="shared" si="5"/>
        <v>#REF!</v>
      </c>
      <c r="M49" s="174">
        <f t="shared" si="5"/>
        <v>17911881</v>
      </c>
      <c r="N49" s="174" t="e">
        <f t="shared" si="5"/>
        <v>#REF!</v>
      </c>
      <c r="O49" s="174">
        <f t="shared" si="5"/>
        <v>19054911</v>
      </c>
      <c r="P49" s="436" t="e">
        <f t="shared" si="5"/>
        <v>#REF!</v>
      </c>
      <c r="Q49" s="416"/>
      <c r="R49" s="416"/>
      <c r="S49" s="416"/>
      <c r="T49" s="416"/>
      <c r="U49" s="416"/>
      <c r="V49" s="416"/>
      <c r="W49" s="416"/>
      <c r="X49" s="416"/>
      <c r="Y49" s="416"/>
      <c r="Z49" s="416"/>
      <c r="AA49" s="416"/>
      <c r="AB49" s="437" t="e">
        <f>SUM(AB43:AB48)</f>
        <v>#REF!</v>
      </c>
      <c r="AC49" s="438">
        <f>I49+K49+M49+O49+Q49+S49+U49+Y49+AA49+W49+1</f>
        <v>60593023</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142191454</v>
      </c>
      <c r="J51" s="334">
        <v>177095194.76999998</v>
      </c>
      <c r="K51" s="334">
        <f aca="true" t="shared" si="6" ref="K51:P51">+K41+K49</f>
        <v>152443903.1</v>
      </c>
      <c r="L51" s="334" t="e">
        <f t="shared" si="6"/>
        <v>#REF!</v>
      </c>
      <c r="M51" s="334">
        <f t="shared" si="6"/>
        <v>160127963</v>
      </c>
      <c r="N51" s="334" t="e">
        <f t="shared" si="6"/>
        <v>#REF!</v>
      </c>
      <c r="O51" s="334">
        <f t="shared" si="6"/>
        <v>164664121</v>
      </c>
      <c r="P51" s="401" t="e">
        <f t="shared" si="6"/>
        <v>#REF!</v>
      </c>
      <c r="Q51" s="416"/>
      <c r="R51" s="416"/>
      <c r="S51" s="416"/>
      <c r="T51" s="416"/>
      <c r="U51" s="416"/>
      <c r="V51" s="416"/>
      <c r="W51" s="416"/>
      <c r="X51" s="416"/>
      <c r="Y51" s="416"/>
      <c r="Z51" s="416"/>
      <c r="AA51" s="416"/>
      <c r="AB51" s="407" t="e">
        <f>+AB41+AB49</f>
        <v>#REF!</v>
      </c>
      <c r="AC51" s="245">
        <f>I51+K51+M51+O51+Q51+S51+U51+Y51+AA51+W51</f>
        <v>619427441.1</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v>
      </c>
      <c r="J53" s="350">
        <f aca="true" t="shared" si="7" ref="J53:P53">J51-J29</f>
        <v>-0.6399999260902405</v>
      </c>
      <c r="K53" s="350">
        <f t="shared" si="7"/>
        <v>-0.2800000011920929</v>
      </c>
      <c r="L53" s="350" t="e">
        <f t="shared" si="7"/>
        <v>#REF!</v>
      </c>
      <c r="M53" s="350">
        <f t="shared" si="7"/>
        <v>0</v>
      </c>
      <c r="N53" s="350" t="e">
        <f t="shared" si="7"/>
        <v>#REF!</v>
      </c>
      <c r="O53" s="350">
        <f t="shared" si="7"/>
        <v>156448</v>
      </c>
      <c r="P53" s="350" t="e">
        <f t="shared" si="7"/>
        <v>#REF!</v>
      </c>
      <c r="Q53" s="417"/>
      <c r="R53" s="417"/>
      <c r="S53" s="417"/>
      <c r="T53" s="417"/>
      <c r="U53" s="417"/>
      <c r="V53" s="417"/>
      <c r="W53" s="417"/>
      <c r="X53" s="417"/>
      <c r="Y53" s="417"/>
      <c r="Z53" s="417"/>
      <c r="AA53" s="417"/>
      <c r="AB53" s="350" t="e">
        <f>AB51-AB29</f>
        <v>#REF!</v>
      </c>
      <c r="AC53" s="350">
        <f>AC51-AC29</f>
        <v>156445.72000014782</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11.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507" t="s">
        <v>323</v>
      </c>
      <c r="I5" s="507" t="s">
        <v>300</v>
      </c>
      <c r="J5" s="507"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405</v>
      </c>
      <c r="I6" s="514" t="s">
        <v>405</v>
      </c>
      <c r="J6" s="514" t="s">
        <v>405</v>
      </c>
      <c r="K6" s="514" t="s">
        <v>405</v>
      </c>
      <c r="L6" s="514" t="s">
        <v>405</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86973130</v>
      </c>
      <c r="I9" s="175">
        <v>29736371</v>
      </c>
      <c r="J9" s="175">
        <v>40457616.9</v>
      </c>
      <c r="K9" s="175">
        <v>118830547</v>
      </c>
      <c r="L9" s="175">
        <v>44645231</v>
      </c>
      <c r="M9" s="175"/>
      <c r="N9" s="175"/>
      <c r="O9" s="175"/>
      <c r="P9" s="175"/>
      <c r="Q9" s="175"/>
      <c r="R9" s="175"/>
      <c r="S9" s="175"/>
      <c r="T9" s="175"/>
      <c r="U9" s="175"/>
      <c r="V9" s="175"/>
      <c r="W9" s="175"/>
      <c r="X9" s="175"/>
      <c r="Y9" s="175"/>
      <c r="Z9" s="175"/>
      <c r="AA9" s="175"/>
      <c r="AB9" s="175">
        <f>+H9+J9+L9+N9+P9+R9+T9+V9+X9+Z9</f>
        <v>172075977.9</v>
      </c>
      <c r="AC9" s="175">
        <f>+I9+K9+M9+O9+Q9+S9+U9+W9+Y9+AA9</f>
        <v>148566918</v>
      </c>
      <c r="AD9" s="191" t="e">
        <f>#REF!</f>
        <v>#REF!</v>
      </c>
      <c r="AE9" s="192"/>
    </row>
    <row r="10" spans="2:31" ht="15.75">
      <c r="B10" s="260" t="s">
        <v>259</v>
      </c>
      <c r="C10" s="32" t="s">
        <v>357</v>
      </c>
      <c r="D10" s="260"/>
      <c r="E10" s="32"/>
      <c r="F10" s="368"/>
      <c r="G10" s="193" t="s">
        <v>180</v>
      </c>
      <c r="H10" s="193">
        <v>2202629.52</v>
      </c>
      <c r="I10" s="175">
        <v>3351926</v>
      </c>
      <c r="J10" s="175">
        <v>1218583</v>
      </c>
      <c r="K10" s="175">
        <v>3711091</v>
      </c>
      <c r="L10" s="175">
        <v>2628393</v>
      </c>
      <c r="M10" s="175"/>
      <c r="N10" s="175"/>
      <c r="O10" s="175"/>
      <c r="P10" s="175"/>
      <c r="Q10" s="175"/>
      <c r="R10" s="175"/>
      <c r="S10" s="175"/>
      <c r="T10" s="175"/>
      <c r="U10" s="175"/>
      <c r="V10" s="175"/>
      <c r="W10" s="175"/>
      <c r="X10" s="175"/>
      <c r="Y10" s="175"/>
      <c r="Z10" s="175"/>
      <c r="AA10" s="175"/>
      <c r="AB10" s="175">
        <f>+H10+J10+L10+N10+P10+R10+T10+V10+X10+Z10</f>
        <v>6049605.52</v>
      </c>
      <c r="AC10" s="175">
        <f>+I10+K10+M10+O10+Q10+S10+U10+W10+Y10+AA10</f>
        <v>7063017</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89175759.52</v>
      </c>
      <c r="I12" s="475">
        <v>33088297</v>
      </c>
      <c r="J12" s="475">
        <f>SUM(J9:J11)</f>
        <v>41676199.9</v>
      </c>
      <c r="K12" s="475">
        <f>SUM(K9:K11)</f>
        <v>122541638</v>
      </c>
      <c r="L12" s="476">
        <f>SUM(L9:L11)</f>
        <v>47273624</v>
      </c>
      <c r="M12" s="477"/>
      <c r="N12" s="477"/>
      <c r="O12" s="477"/>
      <c r="P12" s="477"/>
      <c r="Q12" s="477"/>
      <c r="R12" s="477"/>
      <c r="S12" s="477"/>
      <c r="T12" s="477"/>
      <c r="U12" s="477"/>
      <c r="V12" s="477"/>
      <c r="W12" s="477"/>
      <c r="X12" s="477"/>
      <c r="Y12" s="477"/>
      <c r="Z12" s="477"/>
      <c r="AA12" s="477"/>
      <c r="AB12" s="478">
        <f>+H12+J12+L12+N12+P12+R12+T12+V12+X12+Z12</f>
        <v>178125583.42</v>
      </c>
      <c r="AC12" s="479">
        <f>+I12+K12+M12+O12+Q12+S12+U12+W12+Y12+AA12</f>
        <v>155629935</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71228460</v>
      </c>
      <c r="I14" s="175">
        <v>18933047</v>
      </c>
      <c r="J14" s="175">
        <v>17155644</v>
      </c>
      <c r="K14" s="175">
        <v>91825268</v>
      </c>
      <c r="L14" s="175">
        <v>28241365</v>
      </c>
      <c r="M14" s="175"/>
      <c r="N14" s="175"/>
      <c r="O14" s="175"/>
      <c r="P14" s="175"/>
      <c r="Q14" s="175"/>
      <c r="R14" s="175"/>
      <c r="S14" s="175"/>
      <c r="T14" s="175"/>
      <c r="U14" s="175"/>
      <c r="V14" s="175"/>
      <c r="W14" s="175"/>
      <c r="X14" s="175"/>
      <c r="Y14" s="175"/>
      <c r="Z14" s="175"/>
      <c r="AA14" s="175"/>
      <c r="AB14" s="175">
        <f>+H14+J14+L14+N14+P14+R14+T14+V14+X14+Z14</f>
        <v>116625469</v>
      </c>
      <c r="AC14" s="175">
        <f>I14+K14+M14+O14+Q14+S14+U14+Y14+AA14</f>
        <v>110758315</v>
      </c>
      <c r="AD14" s="191" t="e">
        <f>#REF!</f>
        <v>#REF!</v>
      </c>
      <c r="AF14" s="192"/>
    </row>
    <row r="15" spans="2:32" ht="15.75">
      <c r="B15" s="32"/>
      <c r="C15" s="249" t="s">
        <v>242</v>
      </c>
      <c r="D15" s="297" t="s">
        <v>361</v>
      </c>
      <c r="E15" s="297"/>
      <c r="F15" s="216"/>
      <c r="G15" s="193" t="s">
        <v>232</v>
      </c>
      <c r="H15" s="193"/>
      <c r="I15" s="175">
        <v>0</v>
      </c>
      <c r="J15" s="175">
        <v>0</v>
      </c>
      <c r="K15" s="175">
        <v>0</v>
      </c>
      <c r="L15" s="175">
        <v>0</v>
      </c>
      <c r="M15" s="175"/>
      <c r="N15" s="175"/>
      <c r="O15" s="175"/>
      <c r="P15" s="175"/>
      <c r="Q15" s="175"/>
      <c r="R15" s="175"/>
      <c r="S15" s="175"/>
      <c r="T15" s="175"/>
      <c r="U15" s="175"/>
      <c r="V15" s="175"/>
      <c r="W15" s="175"/>
      <c r="X15" s="175"/>
      <c r="Y15" s="175"/>
      <c r="Z15" s="175"/>
      <c r="AA15" s="175"/>
      <c r="AB15" s="175">
        <f>+H15+J15+L15+N15+P15+R15+T15+V15+X15+Z15</f>
        <v>0</v>
      </c>
      <c r="AC15" s="175">
        <f>I15+K15+M15+O15+Q15+S15+U15+Y15+AA15+W15</f>
        <v>0</v>
      </c>
      <c r="AD15" s="191">
        <v>7993970783.59</v>
      </c>
      <c r="AF15" s="192"/>
    </row>
    <row r="16" spans="2:32" ht="15.75" customHeight="1">
      <c r="B16" s="32"/>
      <c r="C16" s="249" t="s">
        <v>243</v>
      </c>
      <c r="D16" s="555" t="s">
        <v>374</v>
      </c>
      <c r="E16" s="555"/>
      <c r="F16" s="555"/>
      <c r="G16" s="550" t="s">
        <v>233</v>
      </c>
      <c r="H16" s="550"/>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61814955</v>
      </c>
      <c r="I18" s="175">
        <v>54096461</v>
      </c>
      <c r="J18" s="175">
        <v>55752913.44</v>
      </c>
      <c r="K18" s="175">
        <v>47582559</v>
      </c>
      <c r="L18" s="175">
        <v>37085331</v>
      </c>
      <c r="M18" s="175"/>
      <c r="N18" s="175"/>
      <c r="O18" s="175"/>
      <c r="P18" s="175"/>
      <c r="Q18" s="175"/>
      <c r="R18" s="175"/>
      <c r="S18" s="175"/>
      <c r="T18" s="175"/>
      <c r="U18" s="175"/>
      <c r="V18" s="175"/>
      <c r="W18" s="175"/>
      <c r="X18" s="175"/>
      <c r="Y18" s="175"/>
      <c r="Z18" s="175"/>
      <c r="AA18" s="175"/>
      <c r="AB18" s="175">
        <f>+H18+J18+L18+N18+P18+R18+T18+V18+X18+Z18</f>
        <v>154653199.44</v>
      </c>
      <c r="AC18" s="175">
        <f>+I18+K18+M18+O18+Q18+S18+U18+W18+Y18+AA18</f>
        <v>101679020</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2829599</v>
      </c>
      <c r="I20" s="175">
        <v>2294913.49</v>
      </c>
      <c r="J20" s="175">
        <v>2952471.38</v>
      </c>
      <c r="K20" s="175">
        <v>2789201</v>
      </c>
      <c r="L20" s="175">
        <v>2836209</v>
      </c>
      <c r="M20" s="175"/>
      <c r="N20" s="175"/>
      <c r="O20" s="175"/>
      <c r="P20" s="175"/>
      <c r="Q20" s="175"/>
      <c r="R20" s="175"/>
      <c r="S20" s="175"/>
      <c r="T20" s="175"/>
      <c r="U20" s="175"/>
      <c r="V20" s="175"/>
      <c r="W20" s="175"/>
      <c r="X20" s="175"/>
      <c r="Y20" s="175"/>
      <c r="Z20" s="175"/>
      <c r="AA20" s="175"/>
      <c r="AB20" s="175">
        <f>+H20+J20+L20+N20+P20+R20+T20+V20+X20+Z20</f>
        <v>8618279.379999999</v>
      </c>
      <c r="AC20" s="175">
        <f>+I20+K20+M20+O20+Q20+S20+U20+W20+Y20+AA20</f>
        <v>5084114.49</v>
      </c>
      <c r="AD20" s="191">
        <v>15784125.999999998</v>
      </c>
      <c r="AF20" s="192"/>
    </row>
    <row r="21" spans="2:32" ht="42.75">
      <c r="B21" s="176"/>
      <c r="C21" s="249" t="s">
        <v>287</v>
      </c>
      <c r="D21" s="297" t="s">
        <v>365</v>
      </c>
      <c r="F21" s="216"/>
      <c r="G21" s="193" t="s">
        <v>235</v>
      </c>
      <c r="H21" s="193">
        <v>22093610.930000003</v>
      </c>
      <c r="I21" s="175">
        <v>16543599</v>
      </c>
      <c r="J21" s="588">
        <f>17981709.59+322769</f>
        <v>18304478.59</v>
      </c>
      <c r="K21" s="175">
        <v>7504351</v>
      </c>
      <c r="L21" s="175">
        <f>8570596+11992</f>
        <v>8582588</v>
      </c>
      <c r="M21" s="175"/>
      <c r="N21" s="175"/>
      <c r="O21" s="175"/>
      <c r="P21" s="175"/>
      <c r="Q21" s="175"/>
      <c r="R21" s="175"/>
      <c r="S21" s="175"/>
      <c r="T21" s="175"/>
      <c r="U21" s="175"/>
      <c r="V21" s="175"/>
      <c r="W21" s="175"/>
      <c r="X21" s="175"/>
      <c r="Y21" s="175"/>
      <c r="Z21" s="175"/>
      <c r="AA21" s="175"/>
      <c r="AB21" s="175">
        <f>+H21+J21+L21+N21+P21+R21+T21+V21+X21+Z21</f>
        <v>48980677.52</v>
      </c>
      <c r="AC21" s="175">
        <f>+I21+K21+M21+O21+Q21+S21+U21+W21+Y21+AA21</f>
        <v>24047950</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157966624.93</v>
      </c>
      <c r="I23" s="481">
        <v>91868020.49</v>
      </c>
      <c r="J23" s="481">
        <f>SUM(J14:J22)</f>
        <v>94165507.41</v>
      </c>
      <c r="K23" s="481">
        <f>SUM(K14:K22)</f>
        <v>149701379</v>
      </c>
      <c r="L23" s="481">
        <f>SUM(L14:L22)</f>
        <v>76745493</v>
      </c>
      <c r="M23" s="483"/>
      <c r="N23" s="483"/>
      <c r="O23" s="483"/>
      <c r="P23" s="483"/>
      <c r="Q23" s="483"/>
      <c r="R23" s="483"/>
      <c r="S23" s="483"/>
      <c r="T23" s="483"/>
      <c r="U23" s="483"/>
      <c r="V23" s="483"/>
      <c r="W23" s="483"/>
      <c r="X23" s="483"/>
      <c r="Y23" s="483"/>
      <c r="Z23" s="483"/>
      <c r="AA23" s="483"/>
      <c r="AB23" s="478">
        <f>+H23+J23+L23+N23+P23+R23+T23+V23+X23+Z23+1</f>
        <v>328877626.34000003</v>
      </c>
      <c r="AC23" s="479">
        <f>+I23+K23+M23+O23+Q23+S23+U23+W23+Y23+AA23</f>
        <v>241569399.49</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-68790865.41000001</v>
      </c>
      <c r="I25" s="178">
        <v>-58779723.489999995</v>
      </c>
      <c r="J25" s="178">
        <f>+J12-J23</f>
        <v>-52489307.51</v>
      </c>
      <c r="K25" s="178">
        <f>+K12-K23</f>
        <v>-27159741</v>
      </c>
      <c r="L25" s="178">
        <f>+L12-L23</f>
        <v>-29471869</v>
      </c>
      <c r="M25" s="178"/>
      <c r="N25" s="178"/>
      <c r="O25" s="178"/>
      <c r="P25" s="178"/>
      <c r="Q25" s="178"/>
      <c r="R25" s="178"/>
      <c r="S25" s="178"/>
      <c r="T25" s="178"/>
      <c r="U25" s="178"/>
      <c r="V25" s="178"/>
      <c r="W25" s="178"/>
      <c r="X25" s="178"/>
      <c r="Y25" s="178"/>
      <c r="Z25" s="178"/>
      <c r="AA25" s="178"/>
      <c r="AB25" s="175">
        <f>+H25+J25+L25+N25+P25+R25+T25+V25+X25+Z25</f>
        <v>-150752041.92000002</v>
      </c>
      <c r="AC25" s="175">
        <f>+I25+K25+M25+O25+Q25+S25+U25+W25+Y25+AA25</f>
        <v>-85939464.49</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-68790865.41000001</v>
      </c>
      <c r="I28" s="180">
        <v>-58779723.489999995</v>
      </c>
      <c r="J28" s="180">
        <f>+J25-J27</f>
        <v>-52489307.51</v>
      </c>
      <c r="K28" s="180">
        <f>+K25-K27</f>
        <v>-27159741</v>
      </c>
      <c r="L28" s="180">
        <f>+L25-L27</f>
        <v>-29471869</v>
      </c>
      <c r="M28" s="180"/>
      <c r="N28" s="180"/>
      <c r="O28" s="180"/>
      <c r="P28" s="180"/>
      <c r="Q28" s="180"/>
      <c r="R28" s="180"/>
      <c r="S28" s="180"/>
      <c r="T28" s="180"/>
      <c r="U28" s="180"/>
      <c r="V28" s="180"/>
      <c r="W28" s="180"/>
      <c r="X28" s="180"/>
      <c r="Y28" s="180"/>
      <c r="Z28" s="180"/>
      <c r="AA28" s="180"/>
      <c r="AB28" s="175">
        <f>+H28+J28+L28+N28+P28+R28+T28+V28+X28+Z28</f>
        <v>-150752041.92000002</v>
      </c>
      <c r="AC28" s="175">
        <f>+I28+K28+M28+O28+Q28+S28+U28+W28+Y28+AA28</f>
        <v>-85939464.49</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-68790865.41000001</v>
      </c>
      <c r="I30" s="487">
        <v>-58779723.489999995</v>
      </c>
      <c r="J30" s="487">
        <f>+J28-J29</f>
        <v>-52489307.51</v>
      </c>
      <c r="K30" s="487">
        <f>+K28-K29</f>
        <v>-27159741</v>
      </c>
      <c r="L30" s="487">
        <f>+L28-L29</f>
        <v>-29471869</v>
      </c>
      <c r="M30" s="487"/>
      <c r="N30" s="487"/>
      <c r="O30" s="487"/>
      <c r="P30" s="487"/>
      <c r="Q30" s="487"/>
      <c r="R30" s="487"/>
      <c r="S30" s="487"/>
      <c r="T30" s="487"/>
      <c r="U30" s="487"/>
      <c r="V30" s="487"/>
      <c r="W30" s="487"/>
      <c r="X30" s="487"/>
      <c r="Y30" s="487"/>
      <c r="Z30" s="487"/>
      <c r="AA30" s="487"/>
      <c r="AB30" s="175">
        <f>+H30+J30+L30+N30+P30+R30+T30+V30+X30+Z30</f>
        <v>-150752041.92000002</v>
      </c>
      <c r="AC30" s="175">
        <f>+I30+K30+M30+O30+Q30+S30+U30+W30+Y30+AA30</f>
        <v>-85939464.49</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-68790865.41000001</v>
      </c>
      <c r="I37" s="487">
        <v>-58779723.489999995</v>
      </c>
      <c r="J37" s="487">
        <f>+J30-J35</f>
        <v>-52489307.51</v>
      </c>
      <c r="K37" s="487">
        <f>+K30-K35</f>
        <v>-27159741</v>
      </c>
      <c r="L37" s="487">
        <f>+L30-L35</f>
        <v>-29471869</v>
      </c>
      <c r="M37" s="487"/>
      <c r="N37" s="487"/>
      <c r="O37" s="487"/>
      <c r="P37" s="487"/>
      <c r="Q37" s="487"/>
      <c r="R37" s="487"/>
      <c r="S37" s="487"/>
      <c r="T37" s="487"/>
      <c r="U37" s="487"/>
      <c r="V37" s="487"/>
      <c r="W37" s="487"/>
      <c r="X37" s="487"/>
      <c r="Y37" s="487"/>
      <c r="Z37" s="487"/>
      <c r="AA37" s="487"/>
      <c r="AB37" s="175">
        <f>+H37+J37+L37+N37+P37+R37+T37+V37+X37+Z37</f>
        <v>-150752041.92000002</v>
      </c>
      <c r="AC37" s="175">
        <f>+I37+K37+M37+O37+Q37+S37+U37+W37+Y37+AA37</f>
        <v>-85939464.49</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-68790865.41000001</v>
      </c>
      <c r="I41" s="200">
        <v>-58779723.489999995</v>
      </c>
      <c r="J41" s="200">
        <f>+J37+J40</f>
        <v>-52489307.51</v>
      </c>
      <c r="K41" s="200">
        <f>+K37+K40</f>
        <v>-27159741</v>
      </c>
      <c r="L41" s="384">
        <f>+L37+L40</f>
        <v>-29471869</v>
      </c>
      <c r="M41" s="399"/>
      <c r="N41" s="399"/>
      <c r="O41" s="399"/>
      <c r="P41" s="399"/>
      <c r="Q41" s="399"/>
      <c r="R41" s="399"/>
      <c r="S41" s="399"/>
      <c r="T41" s="399"/>
      <c r="U41" s="399"/>
      <c r="V41" s="399"/>
      <c r="W41" s="399"/>
      <c r="X41" s="399"/>
      <c r="Y41" s="399"/>
      <c r="Z41" s="399"/>
      <c r="AA41" s="399"/>
      <c r="AB41" s="491">
        <f>+H41+J41+L41+N41+P41+R41+T41+V41+X41+Z41</f>
        <v>-150752041.92000002</v>
      </c>
      <c r="AC41" s="492">
        <f>+I41+K41+M41+O41+Q41+S41+U41+W41+Y41+AA41</f>
        <v>-85939464.49</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12.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K23" sqref="K23"/>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519"/>
      <c r="O3" s="264"/>
      <c r="Q3" s="395"/>
      <c r="R3" s="391"/>
      <c r="S3" s="395"/>
      <c r="T3" s="395"/>
      <c r="U3" s="395"/>
      <c r="V3" s="395"/>
      <c r="W3" s="391"/>
      <c r="X3" s="391"/>
      <c r="Y3" s="395"/>
      <c r="Z3" s="391"/>
      <c r="AA3" s="395"/>
    </row>
    <row r="4" spans="2:30" ht="12.75">
      <c r="B4" s="264"/>
      <c r="I4" s="270" t="s">
        <v>325</v>
      </c>
      <c r="J4" s="187" t="s">
        <v>324</v>
      </c>
      <c r="K4" s="270" t="s">
        <v>399</v>
      </c>
      <c r="L4" s="187" t="s">
        <v>324</v>
      </c>
      <c r="M4" s="508"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7" t="s">
        <v>405</v>
      </c>
      <c r="J5" s="517" t="s">
        <v>405</v>
      </c>
      <c r="K5" s="517" t="s">
        <v>405</v>
      </c>
      <c r="L5" s="425" t="s">
        <v>405</v>
      </c>
      <c r="M5" s="517" t="s">
        <v>405</v>
      </c>
      <c r="N5" s="517" t="s">
        <v>405</v>
      </c>
      <c r="O5" s="517" t="s">
        <v>405</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426"/>
      <c r="J6" s="425"/>
      <c r="K6" s="425"/>
      <c r="L6" s="425"/>
      <c r="M6" s="425"/>
      <c r="N6" s="425"/>
      <c r="O6" s="425"/>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-436229836.41</v>
      </c>
      <c r="J10" s="434">
        <v>-367438971.49</v>
      </c>
      <c r="K10" s="434">
        <v>-308659247.79</v>
      </c>
      <c r="L10" s="434" t="e">
        <f>#REF!</f>
        <v>#REF!</v>
      </c>
      <c r="M10" s="434">
        <v>-256169939</v>
      </c>
      <c r="N10" s="434" t="e">
        <f>#REF!</f>
        <v>#REF!</v>
      </c>
      <c r="O10" s="434">
        <v>-229011921</v>
      </c>
      <c r="P10" s="434" t="e">
        <f>#REF!</f>
        <v>#REF!</v>
      </c>
      <c r="Q10" s="434"/>
      <c r="R10" s="434"/>
      <c r="S10" s="434"/>
      <c r="T10" s="434"/>
      <c r="U10" s="434"/>
      <c r="V10" s="434"/>
      <c r="W10" s="434"/>
      <c r="X10" s="434"/>
      <c r="Y10" s="434"/>
      <c r="Z10" s="434"/>
      <c r="AA10" s="434"/>
      <c r="AB10" s="434" t="e">
        <f>#REF!</f>
        <v>#REF!</v>
      </c>
      <c r="AC10" s="434">
        <f>I10+K10+M10+O10+Q10+S10+U10+Y10+AA10+W10+1</f>
        <v>-1230070943.2</v>
      </c>
      <c r="AD10" s="434" t="e">
        <f>J10+L10+N10+P10+R10+T10+V10+Z10+AB10+X10</f>
        <v>#REF!</v>
      </c>
      <c r="AE10" s="349" t="e">
        <f>#REF!</f>
        <v>#REF!</v>
      </c>
      <c r="AF10" s="185"/>
    </row>
    <row r="11" spans="2:32" ht="15.75">
      <c r="B11" s="291"/>
      <c r="C11" s="435"/>
      <c r="D11" s="296"/>
      <c r="E11" s="291"/>
      <c r="F11" s="291"/>
      <c r="G11" s="311" t="s">
        <v>389</v>
      </c>
      <c r="H11" s="347"/>
      <c r="I11" s="174">
        <v>-436229836.41</v>
      </c>
      <c r="J11" s="174">
        <v>-367438971.49</v>
      </c>
      <c r="K11" s="174">
        <f>SUM(K9:K10)</f>
        <v>-308659247.79</v>
      </c>
      <c r="L11" s="174" t="e">
        <f>SUM(L9:L10)</f>
        <v>#REF!</v>
      </c>
      <c r="M11" s="174">
        <f>+M9+M10</f>
        <v>-256169939</v>
      </c>
      <c r="N11" s="174" t="e">
        <f>+N9+N10</f>
        <v>#REF!</v>
      </c>
      <c r="O11" s="174">
        <f>SUM(O9:O10)</f>
        <v>-229011921</v>
      </c>
      <c r="P11" s="436" t="e">
        <f>SUM(P9:P10)</f>
        <v>#REF!</v>
      </c>
      <c r="Q11" s="416"/>
      <c r="R11" s="416"/>
      <c r="S11" s="416"/>
      <c r="T11" s="416"/>
      <c r="U11" s="416"/>
      <c r="V11" s="416"/>
      <c r="W11" s="416"/>
      <c r="X11" s="416"/>
      <c r="Y11" s="416"/>
      <c r="Z11" s="416"/>
      <c r="AA11" s="416"/>
      <c r="AB11" s="437" t="e">
        <f>+AB9+AB10</f>
        <v>#REF!</v>
      </c>
      <c r="AC11" s="438">
        <f>I11+K11+M11+O11+Q11+S11+U11+Y11+AA11+W11+1</f>
        <v>-1230070943.2</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965618</v>
      </c>
      <c r="J17" s="434">
        <v>0</v>
      </c>
      <c r="K17" s="434"/>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965618</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965618</v>
      </c>
      <c r="J19" s="174">
        <v>0</v>
      </c>
      <c r="K19" s="174">
        <f>SUM(K15:K18)</f>
        <v>0</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965618</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35076024</v>
      </c>
      <c r="J22" s="434">
        <v>7296810.35</v>
      </c>
      <c r="K22" s="434">
        <v>6373606</v>
      </c>
      <c r="L22" s="434" t="e">
        <f>#REF!</f>
        <v>#REF!</v>
      </c>
      <c r="M22" s="434">
        <v>27795046</v>
      </c>
      <c r="N22" s="434" t="e">
        <f>#REF!</f>
        <v>#REF!</v>
      </c>
      <c r="O22" s="434">
        <v>13205832</v>
      </c>
      <c r="P22" s="434" t="e">
        <f>#REF!</f>
        <v>#REF!</v>
      </c>
      <c r="Q22" s="434"/>
      <c r="R22" s="434"/>
      <c r="S22" s="434"/>
      <c r="T22" s="434"/>
      <c r="U22" s="434"/>
      <c r="V22" s="434"/>
      <c r="W22" s="434"/>
      <c r="X22" s="434"/>
      <c r="Y22" s="434"/>
      <c r="Z22" s="434"/>
      <c r="AA22" s="434"/>
      <c r="AB22" s="434" t="e">
        <f>#REF!</f>
        <v>#REF!</v>
      </c>
      <c r="AC22" s="434">
        <f aca="true" t="shared" si="1" ref="AC22:AD24">I22+K22+M22+O22+Q22+S22+U22+Y22+AA22+W22</f>
        <v>82450508</v>
      </c>
      <c r="AD22" s="434" t="e">
        <f t="shared" si="1"/>
        <v>#REF!</v>
      </c>
      <c r="AE22" s="349" t="e">
        <f>#REF!</f>
        <v>#REF!</v>
      </c>
    </row>
    <row r="23" spans="2:32" ht="15.75">
      <c r="B23" s="291"/>
      <c r="C23" s="297"/>
      <c r="D23" s="249" t="s">
        <v>243</v>
      </c>
      <c r="E23" s="297" t="s">
        <v>338</v>
      </c>
      <c r="F23" s="297"/>
      <c r="G23" s="442"/>
      <c r="H23" s="347" t="s">
        <v>168</v>
      </c>
      <c r="I23" s="347">
        <v>83385909.82</v>
      </c>
      <c r="J23" s="434">
        <v>76602271</v>
      </c>
      <c r="K23" s="434">
        <v>94781920.82</v>
      </c>
      <c r="L23" s="434" t="e">
        <f>#REF!</f>
        <v>#REF!</v>
      </c>
      <c r="M23" s="434">
        <f>126684235-M22</f>
        <v>98889189</v>
      </c>
      <c r="N23" s="434" t="e">
        <f>#REF!</f>
        <v>#REF!</v>
      </c>
      <c r="O23" s="434">
        <f>91680405-O22</f>
        <v>78474573</v>
      </c>
      <c r="P23" s="434" t="e">
        <f>#REF!</f>
        <v>#REF!</v>
      </c>
      <c r="Q23" s="434"/>
      <c r="R23" s="434"/>
      <c r="S23" s="434"/>
      <c r="T23" s="434"/>
      <c r="U23" s="434"/>
      <c r="V23" s="434"/>
      <c r="W23" s="434"/>
      <c r="X23" s="434"/>
      <c r="Y23" s="434"/>
      <c r="Z23" s="434"/>
      <c r="AA23" s="434"/>
      <c r="AB23" s="434" t="e">
        <f>#REF!</f>
        <v>#REF!</v>
      </c>
      <c r="AC23" s="434">
        <f t="shared" si="1"/>
        <v>355531592.64</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493897479</v>
      </c>
      <c r="J25" s="434">
        <v>432966557.22</v>
      </c>
      <c r="K25" s="434">
        <v>314755908.01</v>
      </c>
      <c r="L25" s="434">
        <v>-56414291.370000035</v>
      </c>
      <c r="M25" s="434">
        <v>247171097</v>
      </c>
      <c r="N25" s="434">
        <v>-937002649.94</v>
      </c>
      <c r="O25" s="434">
        <v>194047557.43</v>
      </c>
      <c r="P25" s="434">
        <v>-196312660.29999998</v>
      </c>
      <c r="Q25" s="434"/>
      <c r="R25" s="434"/>
      <c r="S25" s="434"/>
      <c r="T25" s="434"/>
      <c r="U25" s="434"/>
      <c r="V25" s="434"/>
      <c r="W25" s="434"/>
      <c r="X25" s="434"/>
      <c r="Y25" s="434"/>
      <c r="Z25" s="434"/>
      <c r="AA25" s="434"/>
      <c r="AB25" s="434">
        <f>5274209230-5200000</f>
        <v>5269009230</v>
      </c>
      <c r="AC25" s="434">
        <f>I25+K25+M25+O25+Q25+S25+U25+Y25+AA25+W25+1</f>
        <v>1249872042.44</v>
      </c>
      <c r="AD25" s="434">
        <f>J25+L25+N25+P25+R25+T25+V25+Z25+AB25+X25</f>
        <v>4512246185.61</v>
      </c>
      <c r="AE25" s="349">
        <v>0.25999951362609863</v>
      </c>
    </row>
    <row r="26" spans="2:32" ht="16.5" thickBot="1">
      <c r="B26" s="291"/>
      <c r="C26" s="296"/>
      <c r="D26" s="291"/>
      <c r="E26" s="291"/>
      <c r="F26" s="291"/>
      <c r="G26" s="311" t="s">
        <v>391</v>
      </c>
      <c r="H26" s="347"/>
      <c r="I26" s="446">
        <v>612359412.8199999</v>
      </c>
      <c r="J26" s="446">
        <v>516865638.57000005</v>
      </c>
      <c r="K26" s="446">
        <f>SUM(K21:K25)</f>
        <v>415911434.83</v>
      </c>
      <c r="L26" s="446" t="e">
        <f>SUM(L21:L25)</f>
        <v>#REF!</v>
      </c>
      <c r="M26" s="446">
        <f>SUM(M21:M25)</f>
        <v>373855332</v>
      </c>
      <c r="N26" s="446" t="e">
        <f>SUM(N21:N25)</f>
        <v>#REF!</v>
      </c>
      <c r="O26" s="446">
        <f>SUM(O22:O25)</f>
        <v>285727962.43</v>
      </c>
      <c r="P26" s="447" t="e">
        <f>SUM(P22:P25)</f>
        <v>#REF!</v>
      </c>
      <c r="Q26" s="416"/>
      <c r="R26" s="416"/>
      <c r="S26" s="416"/>
      <c r="T26" s="416"/>
      <c r="U26" s="416"/>
      <c r="V26" s="416"/>
      <c r="W26" s="416"/>
      <c r="X26" s="416"/>
      <c r="Y26" s="416"/>
      <c r="Z26" s="416"/>
      <c r="AA26" s="416"/>
      <c r="AB26" s="448" t="e">
        <f>SUM(AB21:AB25)</f>
        <v>#REF!</v>
      </c>
      <c r="AC26" s="449">
        <f>I26+K26+M26+O26+Q26+S26+U26+Y26+AA26+W26+1</f>
        <v>1687854143.08</v>
      </c>
      <c r="AD26" s="449" t="e">
        <f>J26+L26+N26+P26+R26+T26+V26+Z26+AB26+X26</f>
        <v>#REF!</v>
      </c>
      <c r="AE26" s="440" t="e">
        <f>SUM(AE21:AE25)</f>
        <v>#REF!</v>
      </c>
      <c r="AF26" s="264"/>
    </row>
    <row r="27" spans="2:31" ht="16.5" thickTop="1">
      <c r="B27" s="291"/>
      <c r="C27" s="250">
        <v>-4</v>
      </c>
      <c r="D27" s="32" t="s">
        <v>315</v>
      </c>
      <c r="E27" s="291"/>
      <c r="F27" s="291"/>
      <c r="G27" s="311"/>
      <c r="H27" s="347" t="s">
        <v>170</v>
      </c>
      <c r="I27" s="450">
        <v>0</v>
      </c>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v>0</v>
      </c>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177095195.4099999</v>
      </c>
      <c r="J29" s="334">
        <v>149426667.08000004</v>
      </c>
      <c r="K29" s="334">
        <f aca="true" t="shared" si="2" ref="K29:P29">K28+K26+K19+K11</f>
        <v>107252187.03999996</v>
      </c>
      <c r="L29" s="334" t="e">
        <f t="shared" si="2"/>
        <v>#REF!</v>
      </c>
      <c r="M29" s="334">
        <f t="shared" si="2"/>
        <v>117685393</v>
      </c>
      <c r="N29" s="334" t="e">
        <f t="shared" si="2"/>
        <v>#REF!</v>
      </c>
      <c r="O29" s="334">
        <f t="shared" si="2"/>
        <v>56716041.43000001</v>
      </c>
      <c r="P29" s="401" t="e">
        <f t="shared" si="2"/>
        <v>#REF!</v>
      </c>
      <c r="Q29" s="416"/>
      <c r="R29" s="416"/>
      <c r="S29" s="416"/>
      <c r="T29" s="416"/>
      <c r="U29" s="416"/>
      <c r="V29" s="416"/>
      <c r="W29" s="416"/>
      <c r="X29" s="416"/>
      <c r="Y29" s="416"/>
      <c r="Z29" s="416"/>
      <c r="AA29" s="416"/>
      <c r="AB29" s="407" t="e">
        <f>AB28+AB26+AB19+AB11</f>
        <v>#REF!</v>
      </c>
      <c r="AC29" s="245">
        <f>AC11+AC19+AC26+AC28</f>
        <v>458748817.8799999</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31501136</v>
      </c>
      <c r="J33" s="434">
        <v>26237483</v>
      </c>
      <c r="K33" s="434">
        <v>15187677.106999999</v>
      </c>
      <c r="L33" s="434">
        <v>1927719.1500000001</v>
      </c>
      <c r="M33" s="434">
        <v>13803251</v>
      </c>
      <c r="N33" s="434">
        <v>9484163.41</v>
      </c>
      <c r="O33" s="434">
        <v>16740521.190000001</v>
      </c>
      <c r="P33" s="434">
        <v>34728931.88999999</v>
      </c>
      <c r="Q33" s="434"/>
      <c r="R33" s="434"/>
      <c r="S33" s="434"/>
      <c r="T33" s="434"/>
      <c r="U33" s="434"/>
      <c r="V33" s="434"/>
      <c r="W33" s="434"/>
      <c r="X33" s="434"/>
      <c r="Y33" s="434"/>
      <c r="Z33" s="443"/>
      <c r="AA33" s="443"/>
      <c r="AB33" s="434">
        <v>5470799.6</v>
      </c>
      <c r="AC33" s="434">
        <f>I33+K33+M33+O33+Q33+S33+U33+Y33+AA33+W33-1</f>
        <v>77232584.297</v>
      </c>
      <c r="AD33" s="434">
        <f>J33+L33+N33+P33+R33+T33+V33+Z33+AB33+X33</f>
        <v>77849097.04999998</v>
      </c>
      <c r="AE33" s="349">
        <v>335773865.227</v>
      </c>
    </row>
    <row r="34" spans="2:31" ht="15.75">
      <c r="B34" s="291"/>
      <c r="C34" s="336"/>
      <c r="D34" s="297"/>
      <c r="E34" s="249" t="s">
        <v>265</v>
      </c>
      <c r="F34" s="338" t="s">
        <v>204</v>
      </c>
      <c r="G34" s="442"/>
      <c r="H34" s="347" t="s">
        <v>171</v>
      </c>
      <c r="I34" s="347">
        <v>88050619</v>
      </c>
      <c r="J34" s="434">
        <v>36297999</v>
      </c>
      <c r="K34" s="434">
        <v>5734122</v>
      </c>
      <c r="L34" s="434">
        <v>0</v>
      </c>
      <c r="M34" s="434">
        <v>22374204</v>
      </c>
      <c r="N34" s="434"/>
      <c r="O34" s="434">
        <v>112360</v>
      </c>
      <c r="P34" s="434">
        <v>10917555</v>
      </c>
      <c r="Q34" s="434"/>
      <c r="R34" s="434"/>
      <c r="S34" s="434"/>
      <c r="T34" s="434"/>
      <c r="U34" s="434"/>
      <c r="V34" s="434"/>
      <c r="W34" s="434"/>
      <c r="X34" s="434"/>
      <c r="Y34" s="434"/>
      <c r="Z34" s="434"/>
      <c r="AA34" s="434"/>
      <c r="AB34" s="434">
        <v>184835</v>
      </c>
      <c r="AC34" s="434">
        <f>I34+K34+M34+O34+Q34+S34+U34+Y34+AA34+W34</f>
        <v>116271305</v>
      </c>
      <c r="AD34" s="434">
        <f>J34+L34+N34+P34+R34+T34+V34+Z34+AB34+X34</f>
        <v>47400389</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3219052</v>
      </c>
      <c r="J38" s="434">
        <v>1664432</v>
      </c>
      <c r="K38" s="434"/>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3219052</v>
      </c>
      <c r="AD38" s="434" t="e">
        <f>J38+L38+N38+P38+R38+T38+V38+Z38+AB38+X38</f>
        <v>#REF!</v>
      </c>
      <c r="AE38" s="349" t="e">
        <f>#REF!</f>
        <v>#REF!</v>
      </c>
    </row>
    <row r="39" spans="2:31" ht="15.75">
      <c r="B39" s="291"/>
      <c r="C39" s="336"/>
      <c r="D39" s="249" t="s">
        <v>274</v>
      </c>
      <c r="E39" s="297" t="s">
        <v>349</v>
      </c>
      <c r="F39" s="297"/>
      <c r="G39" s="442"/>
      <c r="H39" s="347" t="s">
        <v>173</v>
      </c>
      <c r="I39" s="347">
        <v>1330894</v>
      </c>
      <c r="J39" s="434">
        <v>2556161</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1330894</v>
      </c>
      <c r="AD39" s="434">
        <f>J39+L39+N39+P39+R39+T39+V39+Z39+AB39+X39</f>
        <v>2556161</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124101701</v>
      </c>
      <c r="J41" s="174">
        <v>66756075</v>
      </c>
      <c r="K41" s="174">
        <f aca="true" t="shared" si="3" ref="K41:P41">SUM(K33:K40)</f>
        <v>20921799.107</v>
      </c>
      <c r="L41" s="174" t="e">
        <f t="shared" si="3"/>
        <v>#REF!</v>
      </c>
      <c r="M41" s="174">
        <f t="shared" si="3"/>
        <v>36177455</v>
      </c>
      <c r="N41" s="174" t="e">
        <f t="shared" si="3"/>
        <v>#REF!</v>
      </c>
      <c r="O41" s="174">
        <f t="shared" si="3"/>
        <v>16852881.19</v>
      </c>
      <c r="P41" s="436" t="e">
        <f t="shared" si="3"/>
        <v>#REF!</v>
      </c>
      <c r="Q41" s="416"/>
      <c r="R41" s="416"/>
      <c r="S41" s="416"/>
      <c r="T41" s="416"/>
      <c r="U41" s="416"/>
      <c r="V41" s="416"/>
      <c r="W41" s="416"/>
      <c r="X41" s="416"/>
      <c r="Y41" s="416"/>
      <c r="Z41" s="416"/>
      <c r="AA41" s="416"/>
      <c r="AB41" s="308" t="e">
        <f>SUM(AB33:AB40)</f>
        <v>#REF!</v>
      </c>
      <c r="AC41" s="444">
        <f>I41+K41+M41+O41+Q41+S41+U41+Y41+AA41+W41-1</f>
        <v>198053835.297</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c r="J44" s="434">
        <v>0</v>
      </c>
      <c r="K44" s="434">
        <v>0</v>
      </c>
      <c r="L44" s="434" t="e">
        <f>#REF!</f>
        <v>#REF!</v>
      </c>
      <c r="M44" s="434">
        <v>0</v>
      </c>
      <c r="N44" s="434" t="e">
        <f>#REF!</f>
        <v>#REF!</v>
      </c>
      <c r="O44" s="434"/>
      <c r="P44" s="434">
        <v>0</v>
      </c>
      <c r="Q44" s="434"/>
      <c r="R44" s="434"/>
      <c r="S44" s="434"/>
      <c r="T44" s="434"/>
      <c r="U44" s="434"/>
      <c r="V44" s="434"/>
      <c r="W44" s="434"/>
      <c r="X44" s="434"/>
      <c r="Y44" s="434"/>
      <c r="Z44" s="434"/>
      <c r="AA44" s="434"/>
      <c r="AB44" s="434">
        <v>0</v>
      </c>
      <c r="AC44" s="434">
        <f aca="true" t="shared" si="4" ref="AC44:AD48">I44+K44+M44+O44+Q44+S44+U44+Y44+AA44+W44</f>
        <v>0</v>
      </c>
      <c r="AD44" s="434" t="e">
        <f t="shared" si="4"/>
        <v>#REF!</v>
      </c>
      <c r="AE44" s="349" t="e">
        <f>#REF!</f>
        <v>#REF!</v>
      </c>
    </row>
    <row r="45" spans="2:31" ht="15.75">
      <c r="B45" s="291"/>
      <c r="C45" s="297"/>
      <c r="D45" s="249" t="s">
        <v>242</v>
      </c>
      <c r="E45" s="297" t="s">
        <v>352</v>
      </c>
      <c r="F45" s="297"/>
      <c r="G45" s="442"/>
      <c r="H45" s="347" t="s">
        <v>175</v>
      </c>
      <c r="I45" s="347">
        <v>7112871</v>
      </c>
      <c r="J45" s="434">
        <v>3703575.52</v>
      </c>
      <c r="K45" s="434">
        <v>4480879.2</v>
      </c>
      <c r="L45" s="434">
        <v>0</v>
      </c>
      <c r="M45" s="434">
        <v>9154917</v>
      </c>
      <c r="N45" s="434">
        <v>0</v>
      </c>
      <c r="O45" s="434">
        <v>14383651</v>
      </c>
      <c r="P45" s="434" t="e">
        <f>#REF!</f>
        <v>#REF!</v>
      </c>
      <c r="Q45" s="434"/>
      <c r="R45" s="434"/>
      <c r="S45" s="434"/>
      <c r="T45" s="434"/>
      <c r="U45" s="434"/>
      <c r="V45" s="434"/>
      <c r="W45" s="434"/>
      <c r="X45" s="434"/>
      <c r="Y45" s="434"/>
      <c r="Z45" s="434"/>
      <c r="AA45" s="434"/>
      <c r="AB45" s="434" t="e">
        <f>#REF!</f>
        <v>#REF!</v>
      </c>
      <c r="AC45" s="434">
        <f t="shared" si="4"/>
        <v>35132318.2</v>
      </c>
      <c r="AD45" s="434" t="e">
        <f t="shared" si="4"/>
        <v>#REF!</v>
      </c>
      <c r="AE45" s="349" t="e">
        <f>#REF!</f>
        <v>#REF!</v>
      </c>
    </row>
    <row r="46" spans="2:31" ht="15.75">
      <c r="B46" s="291"/>
      <c r="C46" s="297"/>
      <c r="D46" s="249" t="s">
        <v>243</v>
      </c>
      <c r="E46" s="297" t="s">
        <v>353</v>
      </c>
      <c r="F46" s="297"/>
      <c r="G46" s="442"/>
      <c r="H46" s="347" t="s">
        <v>176</v>
      </c>
      <c r="I46" s="347">
        <v>2637821.24</v>
      </c>
      <c r="J46" s="434">
        <v>15764311.219999999</v>
      </c>
      <c r="K46" s="434">
        <v>46556374.72</v>
      </c>
      <c r="L46" s="434" t="e">
        <f>#REF!</f>
        <v>#REF!</v>
      </c>
      <c r="M46" s="434">
        <v>27565594</v>
      </c>
      <c r="N46" s="434" t="e">
        <f>#REF!</f>
        <v>#REF!</v>
      </c>
      <c r="O46" s="434">
        <v>6858177</v>
      </c>
      <c r="P46" s="434" t="e">
        <f>#REF!</f>
        <v>#REF!</v>
      </c>
      <c r="Q46" s="434"/>
      <c r="R46" s="434"/>
      <c r="S46" s="434"/>
      <c r="T46" s="434"/>
      <c r="U46" s="434"/>
      <c r="V46" s="434"/>
      <c r="W46" s="434"/>
      <c r="X46" s="434"/>
      <c r="Y46" s="434"/>
      <c r="Z46" s="434"/>
      <c r="AA46" s="434"/>
      <c r="AB46" s="434" t="e">
        <f>#REF!</f>
        <v>#REF!</v>
      </c>
      <c r="AC46" s="434">
        <f t="shared" si="4"/>
        <v>83617966.96000001</v>
      </c>
      <c r="AD46" s="434" t="e">
        <f t="shared" si="4"/>
        <v>#REF!</v>
      </c>
      <c r="AE46" s="349" t="e">
        <f>#REF!</f>
        <v>#REF!</v>
      </c>
    </row>
    <row r="47" spans="2:31" ht="15.75">
      <c r="B47" s="291"/>
      <c r="C47" s="297"/>
      <c r="D47" s="249" t="s">
        <v>252</v>
      </c>
      <c r="E47" s="297" t="s">
        <v>354</v>
      </c>
      <c r="F47" s="297"/>
      <c r="G47" s="442"/>
      <c r="H47" s="347" t="s">
        <v>177</v>
      </c>
      <c r="I47" s="347">
        <v>10187914.9</v>
      </c>
      <c r="J47" s="434">
        <v>2940829</v>
      </c>
      <c r="K47" s="434">
        <v>2420274</v>
      </c>
      <c r="L47" s="434" t="e">
        <f>#REF!</f>
        <v>#REF!</v>
      </c>
      <c r="M47" s="434">
        <v>44286110</v>
      </c>
      <c r="N47" s="434" t="e">
        <f>#REF!</f>
        <v>#REF!</v>
      </c>
      <c r="O47" s="434">
        <v>18621332</v>
      </c>
      <c r="P47" s="434" t="e">
        <f>#REF!</f>
        <v>#REF!</v>
      </c>
      <c r="Q47" s="434"/>
      <c r="R47" s="434"/>
      <c r="S47" s="434"/>
      <c r="T47" s="434"/>
      <c r="U47" s="434"/>
      <c r="V47" s="434"/>
      <c r="W47" s="434"/>
      <c r="X47" s="434"/>
      <c r="Y47" s="434"/>
      <c r="Z47" s="434"/>
      <c r="AA47" s="434"/>
      <c r="AB47" s="434" t="e">
        <f>#REF!</f>
        <v>#REF!</v>
      </c>
      <c r="AC47" s="434">
        <f t="shared" si="4"/>
        <v>75515630.9</v>
      </c>
      <c r="AD47" s="434" t="e">
        <f t="shared" si="4"/>
        <v>#REF!</v>
      </c>
      <c r="AE47" s="349" t="e">
        <f>#REF!</f>
        <v>#REF!</v>
      </c>
    </row>
    <row r="48" spans="2:31" ht="15.75">
      <c r="B48" s="291"/>
      <c r="C48" s="296"/>
      <c r="D48" s="249" t="s">
        <v>274</v>
      </c>
      <c r="E48" s="297" t="s">
        <v>355</v>
      </c>
      <c r="F48" s="297"/>
      <c r="G48" s="442"/>
      <c r="H48" s="347" t="s">
        <v>178</v>
      </c>
      <c r="I48" s="347">
        <v>33054886.63</v>
      </c>
      <c r="J48" s="434">
        <v>60261877.42</v>
      </c>
      <c r="K48" s="434">
        <v>32872859.89</v>
      </c>
      <c r="L48" s="434">
        <v>0</v>
      </c>
      <c r="M48" s="434">
        <v>501317</v>
      </c>
      <c r="N48" s="434" t="e">
        <f>#REF!</f>
        <v>#REF!</v>
      </c>
      <c r="O48" s="434">
        <v>0</v>
      </c>
      <c r="P48" s="434" t="e">
        <f>#REF!</f>
        <v>#REF!</v>
      </c>
      <c r="Q48" s="434"/>
      <c r="R48" s="434"/>
      <c r="S48" s="434"/>
      <c r="T48" s="434"/>
      <c r="U48" s="434"/>
      <c r="V48" s="434"/>
      <c r="W48" s="434"/>
      <c r="X48" s="434"/>
      <c r="Y48" s="434"/>
      <c r="Z48" s="434"/>
      <c r="AA48" s="434"/>
      <c r="AB48" s="434">
        <v>0</v>
      </c>
      <c r="AC48" s="434">
        <f t="shared" si="4"/>
        <v>66429063.519999996</v>
      </c>
      <c r="AD48" s="460" t="e">
        <f t="shared" si="4"/>
        <v>#REF!</v>
      </c>
      <c r="AE48" s="349" t="e">
        <f>#REF!</f>
        <v>#REF!</v>
      </c>
    </row>
    <row r="49" spans="2:32" ht="15.75">
      <c r="B49" s="291"/>
      <c r="C49" s="296"/>
      <c r="D49" s="291"/>
      <c r="E49" s="291"/>
      <c r="F49" s="291"/>
      <c r="G49" s="311" t="s">
        <v>393</v>
      </c>
      <c r="H49" s="347"/>
      <c r="I49" s="174">
        <v>52993493.769999996</v>
      </c>
      <c r="J49" s="174">
        <v>82670593.16</v>
      </c>
      <c r="K49" s="174">
        <f aca="true" t="shared" si="5" ref="K49:P49">SUM(K43:K48)</f>
        <v>86330387.81</v>
      </c>
      <c r="L49" s="174" t="e">
        <f t="shared" si="5"/>
        <v>#REF!</v>
      </c>
      <c r="M49" s="174">
        <f t="shared" si="5"/>
        <v>81507938</v>
      </c>
      <c r="N49" s="174" t="e">
        <f t="shared" si="5"/>
        <v>#REF!</v>
      </c>
      <c r="O49" s="174">
        <f t="shared" si="5"/>
        <v>39863160</v>
      </c>
      <c r="P49" s="436" t="e">
        <f t="shared" si="5"/>
        <v>#REF!</v>
      </c>
      <c r="Q49" s="416"/>
      <c r="R49" s="416"/>
      <c r="S49" s="416"/>
      <c r="T49" s="416"/>
      <c r="U49" s="416"/>
      <c r="V49" s="416"/>
      <c r="W49" s="416"/>
      <c r="X49" s="416"/>
      <c r="Y49" s="416"/>
      <c r="Z49" s="416"/>
      <c r="AA49" s="416"/>
      <c r="AB49" s="437" t="e">
        <f>SUM(AB43:AB48)</f>
        <v>#REF!</v>
      </c>
      <c r="AC49" s="438">
        <f>I49+K49+M49+O49+Q49+S49+U49+Y49+AA49+W49+1</f>
        <v>260694980.57999998</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177095194.76999998</v>
      </c>
      <c r="J51" s="334">
        <v>149426668.16</v>
      </c>
      <c r="K51" s="334">
        <f aca="true" t="shared" si="6" ref="K51:P51">+K41+K49</f>
        <v>107252186.917</v>
      </c>
      <c r="L51" s="334" t="e">
        <f t="shared" si="6"/>
        <v>#REF!</v>
      </c>
      <c r="M51" s="334">
        <f t="shared" si="6"/>
        <v>117685393</v>
      </c>
      <c r="N51" s="334" t="e">
        <f t="shared" si="6"/>
        <v>#REF!</v>
      </c>
      <c r="O51" s="334">
        <f t="shared" si="6"/>
        <v>56716041.19</v>
      </c>
      <c r="P51" s="401" t="e">
        <f t="shared" si="6"/>
        <v>#REF!</v>
      </c>
      <c r="Q51" s="416"/>
      <c r="R51" s="416"/>
      <c r="S51" s="416"/>
      <c r="T51" s="416"/>
      <c r="U51" s="416"/>
      <c r="V51" s="416"/>
      <c r="W51" s="416"/>
      <c r="X51" s="416"/>
      <c r="Y51" s="416"/>
      <c r="Z51" s="416"/>
      <c r="AA51" s="416"/>
      <c r="AB51" s="407" t="e">
        <f>+AB41+AB49</f>
        <v>#REF!</v>
      </c>
      <c r="AC51" s="245">
        <f>I51+K51+M51+O51+Q51+S51+U51+Y51+AA51+W51</f>
        <v>458748815.877</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0.6399999260902405</v>
      </c>
      <c r="J53" s="350">
        <f aca="true" t="shared" si="7" ref="J53:P53">J51-J29</f>
        <v>1.079999953508377</v>
      </c>
      <c r="K53" s="350">
        <f t="shared" si="7"/>
        <v>-0.12299996614456177</v>
      </c>
      <c r="L53" s="350" t="e">
        <f t="shared" si="7"/>
        <v>#REF!</v>
      </c>
      <c r="M53" s="350">
        <f t="shared" si="7"/>
        <v>0</v>
      </c>
      <c r="N53" s="350" t="e">
        <f t="shared" si="7"/>
        <v>#REF!</v>
      </c>
      <c r="O53" s="350">
        <f t="shared" si="7"/>
        <v>-0.24000000953674316</v>
      </c>
      <c r="P53" s="350" t="e">
        <f t="shared" si="7"/>
        <v>#REF!</v>
      </c>
      <c r="Q53" s="417"/>
      <c r="R53" s="417"/>
      <c r="S53" s="417"/>
      <c r="T53" s="417"/>
      <c r="U53" s="417"/>
      <c r="V53" s="417"/>
      <c r="W53" s="417"/>
      <c r="X53" s="417"/>
      <c r="Y53" s="417"/>
      <c r="Z53" s="417"/>
      <c r="AA53" s="417"/>
      <c r="AB53" s="350" t="e">
        <f>AB51-AB29</f>
        <v>#REF!</v>
      </c>
      <c r="AC53" s="350">
        <f>AC51-AC29</f>
        <v>-2.0029999017715454</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13.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406</v>
      </c>
      <c r="I6" s="514" t="s">
        <v>406</v>
      </c>
      <c r="J6" s="514" t="s">
        <v>406</v>
      </c>
      <c r="K6" s="514" t="s">
        <v>406</v>
      </c>
      <c r="L6" s="514" t="s">
        <v>406</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23606569</v>
      </c>
      <c r="I9" s="175">
        <v>27038846</v>
      </c>
      <c r="J9" s="175">
        <v>18040587.42</v>
      </c>
      <c r="K9" s="175">
        <v>19295970</v>
      </c>
      <c r="L9" s="175">
        <v>14593913</v>
      </c>
      <c r="M9" s="175"/>
      <c r="N9" s="175"/>
      <c r="O9" s="175"/>
      <c r="P9" s="175"/>
      <c r="Q9" s="175"/>
      <c r="R9" s="175"/>
      <c r="S9" s="175"/>
      <c r="T9" s="175"/>
      <c r="U9" s="175"/>
      <c r="V9" s="175"/>
      <c r="W9" s="175"/>
      <c r="X9" s="175"/>
      <c r="Y9" s="175"/>
      <c r="Z9" s="175"/>
      <c r="AA9" s="175"/>
      <c r="AB9" s="175">
        <f>+H9+J9+L9+N9+P9+R9+T9+V9+X9+Z9</f>
        <v>56241069.42</v>
      </c>
      <c r="AC9" s="175">
        <f>+I9+K9+M9+O9+Q9+S9+U9+W9+Y9+AA9</f>
        <v>46334816</v>
      </c>
      <c r="AD9" s="191" t="e">
        <f>#REF!</f>
        <v>#REF!</v>
      </c>
      <c r="AE9" s="192"/>
    </row>
    <row r="10" spans="2:31" ht="15.75">
      <c r="B10" s="260" t="s">
        <v>259</v>
      </c>
      <c r="C10" s="32" t="s">
        <v>357</v>
      </c>
      <c r="D10" s="260"/>
      <c r="E10" s="32"/>
      <c r="F10" s="368"/>
      <c r="G10" s="193" t="s">
        <v>180</v>
      </c>
      <c r="H10" s="193">
        <v>118864</v>
      </c>
      <c r="I10" s="175">
        <v>129585</v>
      </c>
      <c r="J10" s="175">
        <v>75704</v>
      </c>
      <c r="K10" s="175">
        <v>12743</v>
      </c>
      <c r="L10" s="175">
        <v>284405</v>
      </c>
      <c r="M10" s="175"/>
      <c r="N10" s="175"/>
      <c r="O10" s="175"/>
      <c r="P10" s="175"/>
      <c r="Q10" s="175"/>
      <c r="R10" s="175"/>
      <c r="S10" s="175"/>
      <c r="T10" s="175"/>
      <c r="U10" s="175"/>
      <c r="V10" s="175"/>
      <c r="W10" s="175"/>
      <c r="X10" s="175"/>
      <c r="Y10" s="175"/>
      <c r="Z10" s="175"/>
      <c r="AA10" s="175"/>
      <c r="AB10" s="175">
        <f>+H10+J10+L10+N10+P10+R10+T10+V10+X10+Z10</f>
        <v>478973</v>
      </c>
      <c r="AC10" s="175">
        <f>+I10+K10+M10+O10+Q10+S10+U10+W10+Y10+AA10</f>
        <v>142328</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23725433</v>
      </c>
      <c r="I12" s="475">
        <v>27168431</v>
      </c>
      <c r="J12" s="475">
        <f>SUM(J9:J11)</f>
        <v>18116291.42</v>
      </c>
      <c r="K12" s="475">
        <f>SUM(K9:K11)</f>
        <v>19308713</v>
      </c>
      <c r="L12" s="476">
        <f>SUM(L9:L11)</f>
        <v>14878318</v>
      </c>
      <c r="M12" s="477"/>
      <c r="N12" s="477"/>
      <c r="O12" s="477"/>
      <c r="P12" s="477"/>
      <c r="Q12" s="477"/>
      <c r="R12" s="477"/>
      <c r="S12" s="477"/>
      <c r="T12" s="477"/>
      <c r="U12" s="477"/>
      <c r="V12" s="477"/>
      <c r="W12" s="477"/>
      <c r="X12" s="477"/>
      <c r="Y12" s="477"/>
      <c r="Z12" s="477"/>
      <c r="AA12" s="477"/>
      <c r="AB12" s="478">
        <f>+H12+J12+L12+N12+P12+R12+T12+V12+X12+Z12</f>
        <v>56720042.42</v>
      </c>
      <c r="AC12" s="479">
        <f>+I12+K12+M12+O12+Q12+S12+U12+W12+Y12+AA12</f>
        <v>46477144</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57079</v>
      </c>
      <c r="I14" s="175">
        <v>1445938</v>
      </c>
      <c r="J14" s="175">
        <v>293384</v>
      </c>
      <c r="K14" s="175">
        <v>252</v>
      </c>
      <c r="L14" s="175">
        <v>18589</v>
      </c>
      <c r="M14" s="175"/>
      <c r="N14" s="175"/>
      <c r="O14" s="175"/>
      <c r="P14" s="175"/>
      <c r="Q14" s="175"/>
      <c r="R14" s="175"/>
      <c r="S14" s="175"/>
      <c r="T14" s="175"/>
      <c r="U14" s="175"/>
      <c r="V14" s="175"/>
      <c r="W14" s="175"/>
      <c r="X14" s="175"/>
      <c r="Y14" s="175"/>
      <c r="Z14" s="175"/>
      <c r="AA14" s="175"/>
      <c r="AB14" s="175">
        <f>+H14+J14+L14+N14+P14+R14+T14+V14+X14+Z14</f>
        <v>369052</v>
      </c>
      <c r="AC14" s="175">
        <f>I14+K14+M14+O14+Q14+S14+U14+Y14+AA14</f>
        <v>1446190</v>
      </c>
      <c r="AD14" s="191" t="e">
        <f>#REF!</f>
        <v>#REF!</v>
      </c>
      <c r="AF14" s="192"/>
    </row>
    <row r="15" spans="2:32" ht="15.75">
      <c r="B15" s="32"/>
      <c r="C15" s="249" t="s">
        <v>242</v>
      </c>
      <c r="D15" s="297" t="s">
        <v>361</v>
      </c>
      <c r="E15" s="297"/>
      <c r="F15" s="216"/>
      <c r="G15" s="193" t="s">
        <v>232</v>
      </c>
      <c r="H15" s="193">
        <v>22910395</v>
      </c>
      <c r="I15" s="175">
        <v>24714738</v>
      </c>
      <c r="J15" s="175">
        <v>16539594</v>
      </c>
      <c r="K15" s="175">
        <v>18636293</v>
      </c>
      <c r="L15" s="175">
        <v>13656458</v>
      </c>
      <c r="M15" s="175"/>
      <c r="N15" s="175"/>
      <c r="O15" s="175"/>
      <c r="P15" s="175"/>
      <c r="Q15" s="175"/>
      <c r="R15" s="175"/>
      <c r="S15" s="175"/>
      <c r="T15" s="175"/>
      <c r="U15" s="175"/>
      <c r="V15" s="175"/>
      <c r="W15" s="175"/>
      <c r="X15" s="175"/>
      <c r="Y15" s="175"/>
      <c r="Z15" s="175"/>
      <c r="AA15" s="175"/>
      <c r="AB15" s="175">
        <f>+H15+J15+L15+N15+P15+R15+T15+V15+X15+Z15</f>
        <v>53106447</v>
      </c>
      <c r="AC15" s="175">
        <f>I15+K15+M15+O15+Q15+S15+U15+Y15+AA15+W15</f>
        <v>43351031</v>
      </c>
      <c r="AD15" s="191">
        <v>7993970783.59</v>
      </c>
      <c r="AF15" s="192"/>
    </row>
    <row r="16" spans="2:32" ht="15.75" customHeight="1">
      <c r="B16" s="32"/>
      <c r="C16" s="249" t="s">
        <v>243</v>
      </c>
      <c r="D16" s="555" t="s">
        <v>374</v>
      </c>
      <c r="E16" s="555"/>
      <c r="F16" s="555"/>
      <c r="G16" s="550" t="s">
        <v>233</v>
      </c>
      <c r="H16" s="550">
        <v>-89889</v>
      </c>
      <c r="I16" s="551">
        <v>-263879</v>
      </c>
      <c r="J16" s="551">
        <v>514241</v>
      </c>
      <c r="K16" s="551">
        <f>381176-597510</f>
        <v>-216334</v>
      </c>
      <c r="L16" s="551">
        <f>616690-381176</f>
        <v>235514</v>
      </c>
      <c r="M16" s="551"/>
      <c r="N16" s="551"/>
      <c r="O16" s="551"/>
      <c r="P16" s="551"/>
      <c r="Q16" s="551"/>
      <c r="R16" s="551"/>
      <c r="S16" s="551"/>
      <c r="T16" s="551"/>
      <c r="U16" s="551"/>
      <c r="V16" s="551"/>
      <c r="W16" s="551"/>
      <c r="X16" s="551"/>
      <c r="Y16" s="551"/>
      <c r="Z16" s="551"/>
      <c r="AA16" s="551"/>
      <c r="AB16" s="175">
        <f>+J16+L16+T16+V16</f>
        <v>749755</v>
      </c>
      <c r="AC16" s="551">
        <f>+K16+M16+U16+W16</f>
        <v>-216334</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3778494</v>
      </c>
      <c r="I18" s="175">
        <v>4061542</v>
      </c>
      <c r="J18" s="175">
        <v>3530342.4</v>
      </c>
      <c r="K18" s="175">
        <v>4431988</v>
      </c>
      <c r="L18" s="175">
        <v>2768800</v>
      </c>
      <c r="M18" s="175"/>
      <c r="N18" s="175"/>
      <c r="O18" s="175"/>
      <c r="P18" s="175"/>
      <c r="Q18" s="175"/>
      <c r="R18" s="175"/>
      <c r="S18" s="175"/>
      <c r="T18" s="175"/>
      <c r="U18" s="175"/>
      <c r="V18" s="175"/>
      <c r="W18" s="175"/>
      <c r="X18" s="175"/>
      <c r="Y18" s="175"/>
      <c r="Z18" s="175"/>
      <c r="AA18" s="175"/>
      <c r="AB18" s="175">
        <f>+H18+J18+L18+N18+P18+R18+T18+V18+X18+Z18</f>
        <v>10077636.4</v>
      </c>
      <c r="AC18" s="175">
        <f>+I18+K18+M18+O18+Q18+S18+U18+W18+Y18+AA18</f>
        <v>8493530</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41081</v>
      </c>
      <c r="I20" s="175">
        <v>45761.810000000005</v>
      </c>
      <c r="J20" s="175">
        <v>45928</v>
      </c>
      <c r="K20" s="175">
        <v>46244</v>
      </c>
      <c r="L20" s="175">
        <v>46278</v>
      </c>
      <c r="M20" s="175"/>
      <c r="N20" s="175"/>
      <c r="O20" s="175"/>
      <c r="P20" s="175"/>
      <c r="Q20" s="175"/>
      <c r="R20" s="175"/>
      <c r="S20" s="175"/>
      <c r="T20" s="175"/>
      <c r="U20" s="175"/>
      <c r="V20" s="175"/>
      <c r="W20" s="175"/>
      <c r="X20" s="175"/>
      <c r="Y20" s="175"/>
      <c r="Z20" s="175"/>
      <c r="AA20" s="175"/>
      <c r="AB20" s="175">
        <f>+H20+J20+L20+N20+P20+R20+T20+V20+X20+Z20</f>
        <v>133287</v>
      </c>
      <c r="AC20" s="175">
        <f>+I20+K20+M20+O20+Q20+S20+U20+W20+Y20+AA20</f>
        <v>92005.81</v>
      </c>
      <c r="AD20" s="191">
        <v>15784125.999999998</v>
      </c>
      <c r="AF20" s="192"/>
    </row>
    <row r="21" spans="2:32" ht="15.75">
      <c r="B21" s="176"/>
      <c r="C21" s="249" t="s">
        <v>287</v>
      </c>
      <c r="D21" s="297" t="s">
        <v>365</v>
      </c>
      <c r="F21" s="216"/>
      <c r="G21" s="193" t="s">
        <v>235</v>
      </c>
      <c r="H21" s="193">
        <v>2275059</v>
      </c>
      <c r="I21" s="175">
        <v>1753638</v>
      </c>
      <c r="J21" s="175">
        <v>1162119.5</v>
      </c>
      <c r="K21" s="175">
        <f>928280+577944+84901+19350</f>
        <v>1610475</v>
      </c>
      <c r="L21" s="175">
        <f>973012-118599</f>
        <v>854413</v>
      </c>
      <c r="M21" s="175"/>
      <c r="N21" s="175"/>
      <c r="O21" s="175"/>
      <c r="P21" s="175"/>
      <c r="Q21" s="175"/>
      <c r="R21" s="175"/>
      <c r="S21" s="175"/>
      <c r="T21" s="175"/>
      <c r="U21" s="175"/>
      <c r="V21" s="175"/>
      <c r="W21" s="175"/>
      <c r="X21" s="175"/>
      <c r="Y21" s="175"/>
      <c r="Z21" s="175"/>
      <c r="AA21" s="175"/>
      <c r="AB21" s="175">
        <f>+H21+J21+L21+N21+P21+R21+T21+V21+X21+Z21</f>
        <v>4291591.5</v>
      </c>
      <c r="AC21" s="175">
        <f>+I21+K21+M21+O21+Q21+S21+U21+W21+Y21+AA21</f>
        <v>3364113</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28972219</v>
      </c>
      <c r="I23" s="481">
        <v>31757738.81</v>
      </c>
      <c r="J23" s="481">
        <f>SUM(J14:J22)</f>
        <v>22085608.9</v>
      </c>
      <c r="K23" s="481">
        <f>SUM(K14:K22)</f>
        <v>24508918</v>
      </c>
      <c r="L23" s="481">
        <f>SUM(L14:L22)</f>
        <v>17580052</v>
      </c>
      <c r="M23" s="483"/>
      <c r="N23" s="483"/>
      <c r="O23" s="483"/>
      <c r="P23" s="483"/>
      <c r="Q23" s="483"/>
      <c r="R23" s="483"/>
      <c r="S23" s="483"/>
      <c r="T23" s="483"/>
      <c r="U23" s="483"/>
      <c r="V23" s="483"/>
      <c r="W23" s="483"/>
      <c r="X23" s="483"/>
      <c r="Y23" s="483"/>
      <c r="Z23" s="483"/>
      <c r="AA23" s="483"/>
      <c r="AB23" s="478">
        <f>+H23+J23+L23+N23+P23+R23+T23+V23+X23+Z23+1</f>
        <v>68637880.9</v>
      </c>
      <c r="AC23" s="479">
        <f>+I23+K23+M23+O23+Q23+S23+U23+W23+Y23+AA23</f>
        <v>56266656.81</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-5246786</v>
      </c>
      <c r="I25" s="178">
        <v>-4589307.81</v>
      </c>
      <c r="J25" s="178">
        <f>+J12-J23</f>
        <v>-3969317.4799999967</v>
      </c>
      <c r="K25" s="178">
        <f>+K12-K23</f>
        <v>-5200205</v>
      </c>
      <c r="L25" s="178">
        <f>+L12-L23</f>
        <v>-2701734</v>
      </c>
      <c r="M25" s="178"/>
      <c r="N25" s="178"/>
      <c r="O25" s="178"/>
      <c r="P25" s="178"/>
      <c r="Q25" s="178"/>
      <c r="R25" s="178"/>
      <c r="S25" s="178"/>
      <c r="T25" s="178"/>
      <c r="U25" s="178"/>
      <c r="V25" s="178"/>
      <c r="W25" s="178"/>
      <c r="X25" s="178"/>
      <c r="Y25" s="178"/>
      <c r="Z25" s="178"/>
      <c r="AA25" s="178"/>
      <c r="AB25" s="175">
        <f>+H25+J25+L25+N25+P25+R25+T25+V25+X25+Z25</f>
        <v>-11917837.479999997</v>
      </c>
      <c r="AC25" s="175">
        <f>+I25+K25+M25+O25+Q25+S25+U25+W25+Y25+AA25</f>
        <v>-9789512.809999999</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-5246786</v>
      </c>
      <c r="I28" s="180">
        <v>-4589307.81</v>
      </c>
      <c r="J28" s="180">
        <f>+J25-J27</f>
        <v>-3969317.4799999967</v>
      </c>
      <c r="K28" s="180">
        <f>+K25-K27</f>
        <v>-5200205</v>
      </c>
      <c r="L28" s="180">
        <f>+L25-L27</f>
        <v>-2701734</v>
      </c>
      <c r="M28" s="180"/>
      <c r="N28" s="180"/>
      <c r="O28" s="180"/>
      <c r="P28" s="180"/>
      <c r="Q28" s="180"/>
      <c r="R28" s="180"/>
      <c r="S28" s="180"/>
      <c r="T28" s="180"/>
      <c r="U28" s="180"/>
      <c r="V28" s="180"/>
      <c r="W28" s="180"/>
      <c r="X28" s="180"/>
      <c r="Y28" s="180"/>
      <c r="Z28" s="180"/>
      <c r="AA28" s="180"/>
      <c r="AB28" s="175">
        <f>+H28+J28+L28+N28+P28+R28+T28+V28+X28+Z28</f>
        <v>-11917837.479999997</v>
      </c>
      <c r="AC28" s="175">
        <f>+I28+K28+M28+O28+Q28+S28+U28+W28+Y28+AA28</f>
        <v>-9789512.809999999</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-5246786</v>
      </c>
      <c r="I30" s="487">
        <v>-4589307.81</v>
      </c>
      <c r="J30" s="487">
        <f>+J28-J29</f>
        <v>-3969317.4799999967</v>
      </c>
      <c r="K30" s="487">
        <f>+K28-K29</f>
        <v>-5200205</v>
      </c>
      <c r="L30" s="487">
        <f>+L28-L29</f>
        <v>-2701734</v>
      </c>
      <c r="M30" s="487"/>
      <c r="N30" s="487"/>
      <c r="O30" s="487"/>
      <c r="P30" s="487"/>
      <c r="Q30" s="487"/>
      <c r="R30" s="487"/>
      <c r="S30" s="487"/>
      <c r="T30" s="487"/>
      <c r="U30" s="487"/>
      <c r="V30" s="487"/>
      <c r="W30" s="487"/>
      <c r="X30" s="487"/>
      <c r="Y30" s="487"/>
      <c r="Z30" s="487"/>
      <c r="AA30" s="487"/>
      <c r="AB30" s="175">
        <f>+H30+J30+L30+N30+P30+R30+T30+V30+X30+Z30</f>
        <v>-11917837.479999997</v>
      </c>
      <c r="AC30" s="175">
        <f>+I30+K30+M30+O30+Q30+S30+U30+W30+Y30+AA30</f>
        <v>-9789512.809999999</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-5246786</v>
      </c>
      <c r="I37" s="487">
        <v>-4589307.81</v>
      </c>
      <c r="J37" s="487">
        <f>+J30-J35</f>
        <v>-3969317.4799999967</v>
      </c>
      <c r="K37" s="487">
        <f>+K30-K35</f>
        <v>-5200205</v>
      </c>
      <c r="L37" s="487">
        <f>+L30-L35</f>
        <v>-2701734</v>
      </c>
      <c r="M37" s="487"/>
      <c r="N37" s="487"/>
      <c r="O37" s="487"/>
      <c r="P37" s="487"/>
      <c r="Q37" s="487"/>
      <c r="R37" s="487"/>
      <c r="S37" s="487"/>
      <c r="T37" s="487"/>
      <c r="U37" s="487"/>
      <c r="V37" s="487"/>
      <c r="W37" s="487"/>
      <c r="X37" s="487"/>
      <c r="Y37" s="487"/>
      <c r="Z37" s="487"/>
      <c r="AA37" s="487"/>
      <c r="AB37" s="175">
        <f>+H37+J37+L37+N37+P37+R37+T37+V37+X37+Z37</f>
        <v>-11917837.479999997</v>
      </c>
      <c r="AC37" s="175">
        <f>+I37+K37+M37+O37+Q37+S37+U37+W37+Y37+AA37</f>
        <v>-9789512.809999999</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-5246786</v>
      </c>
      <c r="I41" s="200">
        <v>-4589307.81</v>
      </c>
      <c r="J41" s="200">
        <f>+J37+J40</f>
        <v>-3969317.4799999967</v>
      </c>
      <c r="K41" s="200">
        <f>+K37+K40</f>
        <v>-5200205</v>
      </c>
      <c r="L41" s="384">
        <f>+L37+L40</f>
        <v>-2701734</v>
      </c>
      <c r="M41" s="399"/>
      <c r="N41" s="399"/>
      <c r="O41" s="399"/>
      <c r="P41" s="399"/>
      <c r="Q41" s="399"/>
      <c r="R41" s="399"/>
      <c r="S41" s="399"/>
      <c r="T41" s="399"/>
      <c r="U41" s="399"/>
      <c r="V41" s="399"/>
      <c r="W41" s="399"/>
      <c r="X41" s="399"/>
      <c r="Y41" s="399"/>
      <c r="Z41" s="399"/>
      <c r="AA41" s="399"/>
      <c r="AB41" s="491">
        <f>+H41+J41+L41+N41+P41+R41+T41+V41+X41+Z41</f>
        <v>-11917837.479999997</v>
      </c>
      <c r="AC41" s="492">
        <f>+I41+K41+M41+O41+Q41+S41+U41+W41+Y41+AA41</f>
        <v>-9789512.809999999</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B8:F8"/>
    <mergeCell ref="B47:F48"/>
    <mergeCell ref="G47:G48"/>
    <mergeCell ref="D16:F17"/>
    <mergeCell ref="G16:G17"/>
    <mergeCell ref="V16:V17"/>
    <mergeCell ref="X16:X17"/>
    <mergeCell ref="Z16:Z17"/>
    <mergeCell ref="N16:N17"/>
    <mergeCell ref="P16:P17"/>
    <mergeCell ref="R16:R17"/>
    <mergeCell ref="T16:T17"/>
    <mergeCell ref="W16:W17"/>
    <mergeCell ref="U16:U17"/>
    <mergeCell ref="S16:S17"/>
    <mergeCell ref="AD16:AD17"/>
    <mergeCell ref="AC16:AC17"/>
    <mergeCell ref="AA16:AA17"/>
    <mergeCell ref="Y16:Y17"/>
    <mergeCell ref="Q16:Q17"/>
    <mergeCell ref="O16:O17"/>
    <mergeCell ref="M16:M17"/>
    <mergeCell ref="L16:L17"/>
    <mergeCell ref="K16:K17"/>
    <mergeCell ref="J16:J17"/>
    <mergeCell ref="I16:I17"/>
    <mergeCell ref="H16:H17"/>
  </mergeCells>
  <printOptions horizontalCentered="1"/>
  <pageMargins left="0.3" right="0.55" top="0.66" bottom="0.5" header="0" footer="0"/>
  <pageSetup fitToHeight="1" fitToWidth="1" horizontalDpi="600" verticalDpi="600" orientation="landscape" paperSize="5" scale="71" r:id="rId1"/>
</worksheet>
</file>

<file path=xl/worksheets/sheet14.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I3" sqref="I3:O3"/>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7" t="s">
        <v>406</v>
      </c>
      <c r="J5" s="517" t="s">
        <v>406</v>
      </c>
      <c r="K5" s="517" t="s">
        <v>406</v>
      </c>
      <c r="L5" s="425" t="s">
        <v>406</v>
      </c>
      <c r="M5" s="517" t="s">
        <v>406</v>
      </c>
      <c r="N5" s="425" t="s">
        <v>406</v>
      </c>
      <c r="O5" s="517" t="s">
        <v>406</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426"/>
      <c r="J6" s="425"/>
      <c r="K6" s="425"/>
      <c r="L6" s="425"/>
      <c r="M6" s="425"/>
      <c r="N6" s="425"/>
      <c r="O6" s="425"/>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-30636514</v>
      </c>
      <c r="J10" s="434">
        <v>-25389727.81</v>
      </c>
      <c r="K10" s="434">
        <v>-20800420.419999998</v>
      </c>
      <c r="L10" s="434" t="e">
        <f>#REF!</f>
        <v>#REF!</v>
      </c>
      <c r="M10" s="434">
        <v>-16831102</v>
      </c>
      <c r="N10" s="434" t="e">
        <f>#REF!</f>
        <v>#REF!</v>
      </c>
      <c r="O10" s="434">
        <v>-11630898</v>
      </c>
      <c r="P10" s="434" t="e">
        <f>#REF!</f>
        <v>#REF!</v>
      </c>
      <c r="Q10" s="434"/>
      <c r="R10" s="434"/>
      <c r="S10" s="434"/>
      <c r="T10" s="434"/>
      <c r="U10" s="434"/>
      <c r="V10" s="434"/>
      <c r="W10" s="434"/>
      <c r="X10" s="434"/>
      <c r="Y10" s="434"/>
      <c r="Z10" s="434"/>
      <c r="AA10" s="434"/>
      <c r="AB10" s="434" t="e">
        <f>#REF!</f>
        <v>#REF!</v>
      </c>
      <c r="AC10" s="434">
        <f>I10+K10+M10+O10+Q10+S10+U10+Y10+AA10+W10+1</f>
        <v>-79898933.42</v>
      </c>
      <c r="AD10" s="434" t="e">
        <f>J10+L10+N10+P10+R10+T10+V10+Z10+AB10+X10</f>
        <v>#REF!</v>
      </c>
      <c r="AE10" s="349" t="e">
        <f>#REF!</f>
        <v>#REF!</v>
      </c>
      <c r="AF10" s="185"/>
    </row>
    <row r="11" spans="2:32" ht="15.75">
      <c r="B11" s="291"/>
      <c r="C11" s="435"/>
      <c r="D11" s="296"/>
      <c r="E11" s="291"/>
      <c r="F11" s="291"/>
      <c r="G11" s="311" t="s">
        <v>389</v>
      </c>
      <c r="H11" s="347"/>
      <c r="I11" s="174">
        <v>-30636514</v>
      </c>
      <c r="J11" s="174">
        <v>-25389727.81</v>
      </c>
      <c r="K11" s="174">
        <f>SUM(K9:K10)</f>
        <v>-20800420.419999998</v>
      </c>
      <c r="L11" s="174" t="e">
        <f>SUM(L9:L10)</f>
        <v>#REF!</v>
      </c>
      <c r="M11" s="174">
        <f>+M9+M10</f>
        <v>-16831102</v>
      </c>
      <c r="N11" s="174" t="e">
        <f>+N9+N10</f>
        <v>#REF!</v>
      </c>
      <c r="O11" s="174">
        <f>SUM(O9:O10)</f>
        <v>-11630898</v>
      </c>
      <c r="P11" s="436" t="e">
        <f>SUM(P9:P10)</f>
        <v>#REF!</v>
      </c>
      <c r="Q11" s="416"/>
      <c r="R11" s="416"/>
      <c r="S11" s="416"/>
      <c r="T11" s="416"/>
      <c r="U11" s="416"/>
      <c r="V11" s="416"/>
      <c r="W11" s="416"/>
      <c r="X11" s="416"/>
      <c r="Y11" s="416"/>
      <c r="Z11" s="416"/>
      <c r="AA11" s="416"/>
      <c r="AB11" s="437" t="e">
        <f>+AB9+AB10</f>
        <v>#REF!</v>
      </c>
      <c r="AC11" s="438">
        <f>I11+K11+M11+O11+Q11+S11+U11+Y11+AA11+W11+1</f>
        <v>-79898933.42</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c r="J17" s="434">
        <v>0</v>
      </c>
      <c r="K17" s="434"/>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0</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c r="J19" s="174">
        <v>0</v>
      </c>
      <c r="K19" s="174">
        <f>SUM(K15:K18)</f>
        <v>0</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0</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56573</v>
      </c>
      <c r="J22" s="434">
        <v>231473</v>
      </c>
      <c r="K22" s="434">
        <v>45700</v>
      </c>
      <c r="L22" s="434" t="e">
        <f>#REF!</f>
        <v>#REF!</v>
      </c>
      <c r="M22" s="434">
        <v>1561090</v>
      </c>
      <c r="N22" s="434" t="e">
        <f>#REF!</f>
        <v>#REF!</v>
      </c>
      <c r="O22" s="434">
        <v>1536170</v>
      </c>
      <c r="P22" s="434" t="e">
        <f>#REF!</f>
        <v>#REF!</v>
      </c>
      <c r="Q22" s="434"/>
      <c r="R22" s="434"/>
      <c r="S22" s="434"/>
      <c r="T22" s="434"/>
      <c r="U22" s="434"/>
      <c r="V22" s="434"/>
      <c r="W22" s="434"/>
      <c r="X22" s="434"/>
      <c r="Y22" s="434"/>
      <c r="Z22" s="434"/>
      <c r="AA22" s="434"/>
      <c r="AB22" s="434" t="e">
        <f>#REF!</f>
        <v>#REF!</v>
      </c>
      <c r="AC22" s="434">
        <f aca="true" t="shared" si="1" ref="AC22:AD24">I22+K22+M22+O22+Q22+S22+U22+Y22+AA22+W22</f>
        <v>3199533</v>
      </c>
      <c r="AD22" s="434" t="e">
        <f t="shared" si="1"/>
        <v>#REF!</v>
      </c>
      <c r="AE22" s="349" t="e">
        <f>#REF!</f>
        <v>#REF!</v>
      </c>
    </row>
    <row r="23" spans="2:32" ht="15.75">
      <c r="B23" s="291"/>
      <c r="C23" s="297"/>
      <c r="D23" s="249" t="s">
        <v>243</v>
      </c>
      <c r="E23" s="297" t="s">
        <v>338</v>
      </c>
      <c r="F23" s="297"/>
      <c r="G23" s="442"/>
      <c r="H23" s="347" t="s">
        <v>168</v>
      </c>
      <c r="I23" s="347">
        <v>1711534</v>
      </c>
      <c r="J23" s="434">
        <v>1417250</v>
      </c>
      <c r="K23" s="434">
        <v>1560812</v>
      </c>
      <c r="L23" s="434" t="e">
        <f>#REF!</f>
        <v>#REF!</v>
      </c>
      <c r="M23" s="434">
        <f>1581602-M22</f>
        <v>20512</v>
      </c>
      <c r="N23" s="434" t="e">
        <f>#REF!</f>
        <v>#REF!</v>
      </c>
      <c r="O23" s="434">
        <f>1564204-O22</f>
        <v>28034</v>
      </c>
      <c r="P23" s="434" t="e">
        <f>#REF!</f>
        <v>#REF!</v>
      </c>
      <c r="Q23" s="434"/>
      <c r="R23" s="434"/>
      <c r="S23" s="434"/>
      <c r="T23" s="434"/>
      <c r="U23" s="434"/>
      <c r="V23" s="434"/>
      <c r="W23" s="434"/>
      <c r="X23" s="434"/>
      <c r="Y23" s="434"/>
      <c r="Z23" s="434"/>
      <c r="AA23" s="434"/>
      <c r="AB23" s="434" t="e">
        <f>#REF!</f>
        <v>#REF!</v>
      </c>
      <c r="AC23" s="434">
        <f t="shared" si="1"/>
        <v>3320892</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36644957</v>
      </c>
      <c r="J25" s="434">
        <v>30369221.319999997</v>
      </c>
      <c r="K25" s="434">
        <v>25120330.52</v>
      </c>
      <c r="L25" s="434">
        <v>-56414291.370000035</v>
      </c>
      <c r="M25" s="434">
        <v>19300341</v>
      </c>
      <c r="N25" s="434">
        <v>-937002649.94</v>
      </c>
      <c r="O25" s="434">
        <v>14138713</v>
      </c>
      <c r="P25" s="434">
        <v>-196312660.29999998</v>
      </c>
      <c r="Q25" s="434"/>
      <c r="R25" s="434"/>
      <c r="S25" s="434"/>
      <c r="T25" s="434"/>
      <c r="U25" s="434"/>
      <c r="V25" s="434"/>
      <c r="W25" s="434"/>
      <c r="X25" s="434"/>
      <c r="Y25" s="434"/>
      <c r="Z25" s="434"/>
      <c r="AA25" s="434"/>
      <c r="AB25" s="434">
        <f>5274209230-5200000</f>
        <v>5269009230</v>
      </c>
      <c r="AC25" s="434">
        <f>I25+K25+M25+O25+Q25+S25+U25+Y25+AA25+W25+1</f>
        <v>95204342.52</v>
      </c>
      <c r="AD25" s="434">
        <f>J25+L25+N25+P25+R25+T25+V25+Z25+AB25+X25</f>
        <v>4109648849.71</v>
      </c>
      <c r="AE25" s="349">
        <v>0.25999951362609863</v>
      </c>
    </row>
    <row r="26" spans="2:32" ht="16.5" thickBot="1">
      <c r="B26" s="291"/>
      <c r="C26" s="296"/>
      <c r="D26" s="291"/>
      <c r="E26" s="291"/>
      <c r="F26" s="291"/>
      <c r="G26" s="311" t="s">
        <v>391</v>
      </c>
      <c r="H26" s="347"/>
      <c r="I26" s="446">
        <v>38413064</v>
      </c>
      <c r="J26" s="446">
        <v>32017944.319999997</v>
      </c>
      <c r="K26" s="446">
        <f>SUM(K21:K25)</f>
        <v>26726842.52</v>
      </c>
      <c r="L26" s="446" t="e">
        <f>SUM(L21:L25)</f>
        <v>#REF!</v>
      </c>
      <c r="M26" s="446">
        <f>SUM(M21:M25)</f>
        <v>20881943</v>
      </c>
      <c r="N26" s="446" t="e">
        <f>SUM(N21:N25)</f>
        <v>#REF!</v>
      </c>
      <c r="O26" s="446">
        <f>SUM(O22:O25)</f>
        <v>15702917</v>
      </c>
      <c r="P26" s="447" t="e">
        <f>SUM(P22:P25)</f>
        <v>#REF!</v>
      </c>
      <c r="Q26" s="416"/>
      <c r="R26" s="416"/>
      <c r="S26" s="416"/>
      <c r="T26" s="416"/>
      <c r="U26" s="416"/>
      <c r="V26" s="416"/>
      <c r="W26" s="416"/>
      <c r="X26" s="416"/>
      <c r="Y26" s="416"/>
      <c r="Z26" s="416"/>
      <c r="AA26" s="416"/>
      <c r="AB26" s="448" t="e">
        <f>SUM(AB21:AB25)</f>
        <v>#REF!</v>
      </c>
      <c r="AC26" s="449">
        <f>I26+K26+M26+O26+Q26+S26+U26+Y26+AA26+W26+1</f>
        <v>101724767.52</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7776550</v>
      </c>
      <c r="J29" s="334">
        <v>6628216.509999998</v>
      </c>
      <c r="K29" s="334">
        <f aca="true" t="shared" si="2" ref="K29:P29">K28+K26+K19+K11</f>
        <v>5926422.1000000015</v>
      </c>
      <c r="L29" s="334" t="e">
        <f t="shared" si="2"/>
        <v>#REF!</v>
      </c>
      <c r="M29" s="334">
        <f t="shared" si="2"/>
        <v>4050841</v>
      </c>
      <c r="N29" s="334" t="e">
        <f t="shared" si="2"/>
        <v>#REF!</v>
      </c>
      <c r="O29" s="334">
        <f t="shared" si="2"/>
        <v>4072019</v>
      </c>
      <c r="P29" s="401" t="e">
        <f t="shared" si="2"/>
        <v>#REF!</v>
      </c>
      <c r="Q29" s="416"/>
      <c r="R29" s="416"/>
      <c r="S29" s="416"/>
      <c r="T29" s="416"/>
      <c r="U29" s="416"/>
      <c r="V29" s="416"/>
      <c r="W29" s="416"/>
      <c r="X29" s="416"/>
      <c r="Y29" s="416"/>
      <c r="Z29" s="416"/>
      <c r="AA29" s="416"/>
      <c r="AB29" s="407" t="e">
        <f>AB28+AB26+AB19+AB11</f>
        <v>#REF!</v>
      </c>
      <c r="AC29" s="245">
        <f>AC11+AC19+AC26+AC28</f>
        <v>21825834.099999994</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318691</v>
      </c>
      <c r="J33" s="434">
        <v>204200.52000000002</v>
      </c>
      <c r="K33" s="434">
        <v>242062.33</v>
      </c>
      <c r="L33" s="434">
        <v>1927719.1500000001</v>
      </c>
      <c r="M33" s="434">
        <v>287991</v>
      </c>
      <c r="N33" s="434">
        <v>9484163.41</v>
      </c>
      <c r="O33" s="434">
        <v>310160</v>
      </c>
      <c r="P33" s="434">
        <v>34728931.88999999</v>
      </c>
      <c r="Q33" s="434"/>
      <c r="R33" s="434"/>
      <c r="S33" s="434"/>
      <c r="T33" s="434"/>
      <c r="U33" s="434"/>
      <c r="V33" s="434"/>
      <c r="W33" s="434"/>
      <c r="X33" s="434"/>
      <c r="Y33" s="434"/>
      <c r="Z33" s="443"/>
      <c r="AA33" s="443"/>
      <c r="AB33" s="434">
        <v>5470799.6</v>
      </c>
      <c r="AC33" s="434">
        <f>I33+K33+M33+O33+Q33+S33+U33+Y33+AA33+W33-1</f>
        <v>1158903.33</v>
      </c>
      <c r="AD33" s="434">
        <f>J33+L33+N33+P33+R33+T33+V33+Z33+AB33+X33</f>
        <v>51815814.56999999</v>
      </c>
      <c r="AE33" s="349">
        <v>335773865.227</v>
      </c>
    </row>
    <row r="34" spans="2:31" ht="15.75">
      <c r="B34" s="291"/>
      <c r="C34" s="336"/>
      <c r="D34" s="297"/>
      <c r="E34" s="249" t="s">
        <v>265</v>
      </c>
      <c r="F34" s="338" t="s">
        <v>204</v>
      </c>
      <c r="G34" s="442"/>
      <c r="H34" s="347" t="s">
        <v>171</v>
      </c>
      <c r="I34" s="347"/>
      <c r="J34" s="434"/>
      <c r="K34" s="434"/>
      <c r="L34" s="434">
        <v>0</v>
      </c>
      <c r="M34" s="434"/>
      <c r="N34" s="434"/>
      <c r="O34" s="434"/>
      <c r="P34" s="434">
        <v>10917555</v>
      </c>
      <c r="Q34" s="434"/>
      <c r="R34" s="434"/>
      <c r="S34" s="434"/>
      <c r="T34" s="434"/>
      <c r="U34" s="434"/>
      <c r="V34" s="434"/>
      <c r="W34" s="434"/>
      <c r="X34" s="434"/>
      <c r="Y34" s="434"/>
      <c r="Z34" s="434"/>
      <c r="AA34" s="434"/>
      <c r="AB34" s="434">
        <v>184835</v>
      </c>
      <c r="AC34" s="434">
        <f>I34+K34+M34+O34+Q34+S34+U34+Y34+AA34+W34</f>
        <v>0</v>
      </c>
      <c r="AD34" s="434">
        <f>J34+L34+N34+P34+R34+T34+V34+Z34+AB34+X34</f>
        <v>11102390</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c r="J38" s="434">
        <v>0</v>
      </c>
      <c r="K38" s="434"/>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0</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318691</v>
      </c>
      <c r="J41" s="174">
        <v>204200.52</v>
      </c>
      <c r="K41" s="174">
        <f aca="true" t="shared" si="3" ref="K41:P41">SUM(K33:K40)</f>
        <v>242062.33</v>
      </c>
      <c r="L41" s="174" t="e">
        <f t="shared" si="3"/>
        <v>#REF!</v>
      </c>
      <c r="M41" s="174">
        <f t="shared" si="3"/>
        <v>287991</v>
      </c>
      <c r="N41" s="174" t="e">
        <f t="shared" si="3"/>
        <v>#REF!</v>
      </c>
      <c r="O41" s="174">
        <f t="shared" si="3"/>
        <v>310160</v>
      </c>
      <c r="P41" s="436" t="e">
        <f t="shared" si="3"/>
        <v>#REF!</v>
      </c>
      <c r="Q41" s="416"/>
      <c r="R41" s="416"/>
      <c r="S41" s="416"/>
      <c r="T41" s="416"/>
      <c r="U41" s="416"/>
      <c r="V41" s="416"/>
      <c r="W41" s="416"/>
      <c r="X41" s="416"/>
      <c r="Y41" s="416"/>
      <c r="Z41" s="416"/>
      <c r="AA41" s="416"/>
      <c r="AB41" s="308" t="e">
        <f>SUM(AB33:AB40)</f>
        <v>#REF!</v>
      </c>
      <c r="AC41" s="444">
        <f>I41+K41+M41+O41+Q41+S41+U41+Y41+AA41+W41-1</f>
        <v>1158903.33</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v>437037</v>
      </c>
      <c r="J44" s="434">
        <v>347148</v>
      </c>
      <c r="K44" s="434">
        <v>83269</v>
      </c>
      <c r="L44" s="434" t="e">
        <f>#REF!</f>
        <v>#REF!</v>
      </c>
      <c r="M44" s="434">
        <v>597510</v>
      </c>
      <c r="N44" s="434" t="e">
        <f>#REF!</f>
        <v>#REF!</v>
      </c>
      <c r="O44" s="434">
        <v>381176</v>
      </c>
      <c r="P44" s="434">
        <v>0</v>
      </c>
      <c r="Q44" s="434"/>
      <c r="R44" s="434"/>
      <c r="S44" s="434"/>
      <c r="T44" s="434"/>
      <c r="U44" s="434"/>
      <c r="V44" s="434"/>
      <c r="W44" s="434"/>
      <c r="X44" s="434"/>
      <c r="Y44" s="434"/>
      <c r="Z44" s="434"/>
      <c r="AA44" s="434"/>
      <c r="AB44" s="434">
        <v>0</v>
      </c>
      <c r="AC44" s="434">
        <f aca="true" t="shared" si="4" ref="AC44:AD48">I44+K44+M44+O44+Q44+S44+U44+Y44+AA44+W44</f>
        <v>1498992</v>
      </c>
      <c r="AD44" s="434" t="e">
        <f t="shared" si="4"/>
        <v>#REF!</v>
      </c>
      <c r="AE44" s="349" t="e">
        <f>#REF!</f>
        <v>#REF!</v>
      </c>
    </row>
    <row r="45" spans="2:31" ht="15.75">
      <c r="B45" s="291"/>
      <c r="C45" s="297"/>
      <c r="D45" s="249" t="s">
        <v>242</v>
      </c>
      <c r="E45" s="297" t="s">
        <v>352</v>
      </c>
      <c r="F45" s="297"/>
      <c r="G45" s="442"/>
      <c r="H45" s="347" t="s">
        <v>175</v>
      </c>
      <c r="I45" s="347">
        <v>2759693</v>
      </c>
      <c r="J45" s="434">
        <v>3059987</v>
      </c>
      <c r="K45" s="434">
        <v>1758251</v>
      </c>
      <c r="L45" s="434">
        <v>0</v>
      </c>
      <c r="M45" s="434">
        <v>1580429</v>
      </c>
      <c r="N45" s="434">
        <v>0</v>
      </c>
      <c r="O45" s="434">
        <v>1863138</v>
      </c>
      <c r="P45" s="434" t="e">
        <f>#REF!</f>
        <v>#REF!</v>
      </c>
      <c r="Q45" s="434"/>
      <c r="R45" s="434"/>
      <c r="S45" s="434"/>
      <c r="T45" s="434"/>
      <c r="U45" s="434"/>
      <c r="V45" s="434"/>
      <c r="W45" s="434"/>
      <c r="X45" s="434"/>
      <c r="Y45" s="434"/>
      <c r="Z45" s="434"/>
      <c r="AA45" s="434"/>
      <c r="AB45" s="434" t="e">
        <f>#REF!</f>
        <v>#REF!</v>
      </c>
      <c r="AC45" s="434">
        <f t="shared" si="4"/>
        <v>7961511</v>
      </c>
      <c r="AD45" s="434" t="e">
        <f t="shared" si="4"/>
        <v>#REF!</v>
      </c>
      <c r="AE45" s="349" t="e">
        <f>#REF!</f>
        <v>#REF!</v>
      </c>
    </row>
    <row r="46" spans="2:31" ht="15.75">
      <c r="B46" s="291"/>
      <c r="C46" s="297"/>
      <c r="D46" s="249" t="s">
        <v>243</v>
      </c>
      <c r="E46" s="297" t="s">
        <v>353</v>
      </c>
      <c r="F46" s="297"/>
      <c r="G46" s="442"/>
      <c r="H46" s="347" t="s">
        <v>176</v>
      </c>
      <c r="I46" s="347">
        <v>3930184</v>
      </c>
      <c r="J46" s="434">
        <v>2717369</v>
      </c>
      <c r="K46" s="434">
        <v>3147661</v>
      </c>
      <c r="L46" s="434" t="e">
        <f>#REF!</f>
        <v>#REF!</v>
      </c>
      <c r="M46" s="434">
        <v>1422727</v>
      </c>
      <c r="N46" s="434" t="e">
        <f>#REF!</f>
        <v>#REF!</v>
      </c>
      <c r="O46" s="434">
        <v>1357808</v>
      </c>
      <c r="P46" s="434" t="e">
        <f>#REF!</f>
        <v>#REF!</v>
      </c>
      <c r="Q46" s="434"/>
      <c r="R46" s="434"/>
      <c r="S46" s="434"/>
      <c r="T46" s="434"/>
      <c r="U46" s="434"/>
      <c r="V46" s="434"/>
      <c r="W46" s="434"/>
      <c r="X46" s="434"/>
      <c r="Y46" s="434"/>
      <c r="Z46" s="434"/>
      <c r="AA46" s="434"/>
      <c r="AB46" s="434" t="e">
        <f>#REF!</f>
        <v>#REF!</v>
      </c>
      <c r="AC46" s="434">
        <f t="shared" si="4"/>
        <v>9858380</v>
      </c>
      <c r="AD46" s="434" t="e">
        <f t="shared" si="4"/>
        <v>#REF!</v>
      </c>
      <c r="AE46" s="349" t="e">
        <f>#REF!</f>
        <v>#REF!</v>
      </c>
    </row>
    <row r="47" spans="2:31" ht="15.75">
      <c r="B47" s="291"/>
      <c r="C47" s="297"/>
      <c r="D47" s="249" t="s">
        <v>252</v>
      </c>
      <c r="E47" s="297" t="s">
        <v>354</v>
      </c>
      <c r="F47" s="297"/>
      <c r="G47" s="442"/>
      <c r="H47" s="347" t="s">
        <v>177</v>
      </c>
      <c r="I47" s="347">
        <v>330944</v>
      </c>
      <c r="J47" s="434">
        <v>299512</v>
      </c>
      <c r="K47" s="434">
        <v>351464</v>
      </c>
      <c r="L47" s="434" t="e">
        <f>#REF!</f>
        <v>#REF!</v>
      </c>
      <c r="M47" s="434">
        <v>153401</v>
      </c>
      <c r="N47" s="434" t="e">
        <f>#REF!</f>
        <v>#REF!</v>
      </c>
      <c r="O47" s="434">
        <v>159737</v>
      </c>
      <c r="P47" s="434" t="e">
        <f>#REF!</f>
        <v>#REF!</v>
      </c>
      <c r="Q47" s="434"/>
      <c r="R47" s="434"/>
      <c r="S47" s="434"/>
      <c r="T47" s="434"/>
      <c r="U47" s="434"/>
      <c r="V47" s="434"/>
      <c r="W47" s="434"/>
      <c r="X47" s="434"/>
      <c r="Y47" s="434"/>
      <c r="Z47" s="434"/>
      <c r="AA47" s="434"/>
      <c r="AB47" s="434" t="e">
        <f>#REF!</f>
        <v>#REF!</v>
      </c>
      <c r="AC47" s="434">
        <f t="shared" si="4"/>
        <v>995546</v>
      </c>
      <c r="AD47" s="434" t="e">
        <f t="shared" si="4"/>
        <v>#REF!</v>
      </c>
      <c r="AE47" s="349" t="e">
        <f>#REF!</f>
        <v>#REF!</v>
      </c>
    </row>
    <row r="48" spans="2:31" ht="15.75">
      <c r="B48" s="291"/>
      <c r="C48" s="296"/>
      <c r="D48" s="249" t="s">
        <v>274</v>
      </c>
      <c r="E48" s="297" t="s">
        <v>355</v>
      </c>
      <c r="F48" s="297"/>
      <c r="G48" s="442"/>
      <c r="H48" s="347" t="s">
        <v>178</v>
      </c>
      <c r="I48" s="347">
        <v>0</v>
      </c>
      <c r="J48" s="434">
        <v>0</v>
      </c>
      <c r="K48" s="434">
        <v>343714.59</v>
      </c>
      <c r="L48" s="434">
        <v>0</v>
      </c>
      <c r="M48" s="434">
        <v>8783</v>
      </c>
      <c r="N48" s="434" t="e">
        <f>#REF!</f>
        <v>#REF!</v>
      </c>
      <c r="O48" s="434">
        <v>0</v>
      </c>
      <c r="P48" s="434" t="e">
        <f>#REF!</f>
        <v>#REF!</v>
      </c>
      <c r="Q48" s="434"/>
      <c r="R48" s="434"/>
      <c r="S48" s="434"/>
      <c r="T48" s="434"/>
      <c r="U48" s="434"/>
      <c r="V48" s="434"/>
      <c r="W48" s="434"/>
      <c r="X48" s="434"/>
      <c r="Y48" s="434"/>
      <c r="Z48" s="434"/>
      <c r="AA48" s="434"/>
      <c r="AB48" s="434">
        <v>0</v>
      </c>
      <c r="AC48" s="434">
        <f t="shared" si="4"/>
        <v>352497.59</v>
      </c>
      <c r="AD48" s="460" t="e">
        <f t="shared" si="4"/>
        <v>#REF!</v>
      </c>
      <c r="AE48" s="349" t="e">
        <f>#REF!</f>
        <v>#REF!</v>
      </c>
    </row>
    <row r="49" spans="2:32" ht="15.75">
      <c r="B49" s="291"/>
      <c r="C49" s="296"/>
      <c r="D49" s="291"/>
      <c r="E49" s="291"/>
      <c r="F49" s="291"/>
      <c r="G49" s="311" t="s">
        <v>393</v>
      </c>
      <c r="H49" s="347"/>
      <c r="I49" s="174">
        <v>7457858</v>
      </c>
      <c r="J49" s="174">
        <v>6424016</v>
      </c>
      <c r="K49" s="174">
        <f aca="true" t="shared" si="5" ref="K49:P49">SUM(K43:K48)</f>
        <v>5684359.59</v>
      </c>
      <c r="L49" s="174" t="e">
        <f t="shared" si="5"/>
        <v>#REF!</v>
      </c>
      <c r="M49" s="174">
        <f t="shared" si="5"/>
        <v>3762850</v>
      </c>
      <c r="N49" s="174" t="e">
        <f t="shared" si="5"/>
        <v>#REF!</v>
      </c>
      <c r="O49" s="174">
        <f t="shared" si="5"/>
        <v>3761859</v>
      </c>
      <c r="P49" s="436" t="e">
        <f t="shared" si="5"/>
        <v>#REF!</v>
      </c>
      <c r="Q49" s="416"/>
      <c r="R49" s="416"/>
      <c r="S49" s="416"/>
      <c r="T49" s="416"/>
      <c r="U49" s="416"/>
      <c r="V49" s="416"/>
      <c r="W49" s="416"/>
      <c r="X49" s="416"/>
      <c r="Y49" s="416"/>
      <c r="Z49" s="416"/>
      <c r="AA49" s="416"/>
      <c r="AB49" s="437" t="e">
        <f>SUM(AB43:AB48)</f>
        <v>#REF!</v>
      </c>
      <c r="AC49" s="438">
        <f>I49+K49+M49+O49+Q49+S49+U49+Y49+AA49+W49+1</f>
        <v>20666927.59</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7776549</v>
      </c>
      <c r="J51" s="334">
        <v>6628216.52</v>
      </c>
      <c r="K51" s="334">
        <f aca="true" t="shared" si="6" ref="K51:P51">+K41+K49</f>
        <v>5926421.92</v>
      </c>
      <c r="L51" s="334" t="e">
        <f t="shared" si="6"/>
        <v>#REF!</v>
      </c>
      <c r="M51" s="334">
        <f t="shared" si="6"/>
        <v>4050841</v>
      </c>
      <c r="N51" s="334" t="e">
        <f t="shared" si="6"/>
        <v>#REF!</v>
      </c>
      <c r="O51" s="334">
        <f>+O41+O49</f>
        <v>4072019</v>
      </c>
      <c r="P51" s="401" t="e">
        <f t="shared" si="6"/>
        <v>#REF!</v>
      </c>
      <c r="Q51" s="416"/>
      <c r="R51" s="416"/>
      <c r="S51" s="416"/>
      <c r="T51" s="416"/>
      <c r="U51" s="416"/>
      <c r="V51" s="416"/>
      <c r="W51" s="416"/>
      <c r="X51" s="416"/>
      <c r="Y51" s="416"/>
      <c r="Z51" s="416"/>
      <c r="AA51" s="416"/>
      <c r="AB51" s="407" t="e">
        <f>+AB41+AB49</f>
        <v>#REF!</v>
      </c>
      <c r="AC51" s="245">
        <f>I51+K51+M51+O51+Q51+S51+U51+Y51+AA51+W51</f>
        <v>21825830.92</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1</v>
      </c>
      <c r="J53" s="350">
        <f aca="true" t="shared" si="7" ref="J53:P53">J51-J29</f>
        <v>0.010000001639127731</v>
      </c>
      <c r="K53" s="350">
        <f t="shared" si="7"/>
        <v>-0.18000000156462193</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-3.179999992251396</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15.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J1" sqref="J1"/>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7" t="s">
        <v>407</v>
      </c>
      <c r="J5" s="517" t="s">
        <v>407</v>
      </c>
      <c r="K5" s="517" t="s">
        <v>407</v>
      </c>
      <c r="L5" s="425" t="s">
        <v>407</v>
      </c>
      <c r="M5" s="517" t="s">
        <v>407</v>
      </c>
      <c r="N5" s="425" t="s">
        <v>407</v>
      </c>
      <c r="O5" s="517" t="s">
        <v>407</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503"/>
      <c r="I6" s="504"/>
      <c r="J6" s="505"/>
      <c r="K6" s="505"/>
      <c r="L6" s="505"/>
      <c r="M6" s="505"/>
      <c r="N6" s="505"/>
      <c r="O6" s="506"/>
      <c r="P6" s="528"/>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-54454289</v>
      </c>
      <c r="J10" s="434">
        <v>-52596389.84</v>
      </c>
      <c r="K10" s="434">
        <v>-51381054.879999995</v>
      </c>
      <c r="L10" s="434" t="e">
        <f>#REF!</f>
        <v>#REF!</v>
      </c>
      <c r="M10" s="434">
        <v>-50296797</v>
      </c>
      <c r="N10" s="434" t="e">
        <f>#REF!</f>
        <v>#REF!</v>
      </c>
      <c r="O10" s="434">
        <v>-49562023.5</v>
      </c>
      <c r="P10" s="434" t="e">
        <f>#REF!</f>
        <v>#REF!</v>
      </c>
      <c r="Q10" s="434"/>
      <c r="R10" s="434"/>
      <c r="S10" s="434"/>
      <c r="T10" s="434"/>
      <c r="U10" s="434"/>
      <c r="V10" s="434"/>
      <c r="W10" s="434"/>
      <c r="X10" s="434"/>
      <c r="Y10" s="434"/>
      <c r="Z10" s="434"/>
      <c r="AA10" s="434"/>
      <c r="AB10" s="434" t="e">
        <f>#REF!</f>
        <v>#REF!</v>
      </c>
      <c r="AC10" s="434">
        <f>I10+K10+M10+O10+Q10+S10+U10+Y10+AA10+W10+1</f>
        <v>-205694163.38</v>
      </c>
      <c r="AD10" s="434" t="e">
        <f>J10+L10+N10+P10+R10+T10+V10+Z10+AB10+X10</f>
        <v>#REF!</v>
      </c>
      <c r="AE10" s="349" t="e">
        <f>#REF!</f>
        <v>#REF!</v>
      </c>
      <c r="AF10" s="185"/>
    </row>
    <row r="11" spans="2:32" ht="15.75">
      <c r="B11" s="291"/>
      <c r="C11" s="435"/>
      <c r="D11" s="296"/>
      <c r="E11" s="291"/>
      <c r="F11" s="291"/>
      <c r="G11" s="311" t="s">
        <v>389</v>
      </c>
      <c r="H11" s="347"/>
      <c r="I11" s="174">
        <v>-54454289</v>
      </c>
      <c r="J11" s="174">
        <v>-52596389.84</v>
      </c>
      <c r="K11" s="174">
        <f>SUM(K9:K10)</f>
        <v>-51381054.879999995</v>
      </c>
      <c r="L11" s="174" t="e">
        <f>SUM(L9:L10)</f>
        <v>#REF!</v>
      </c>
      <c r="M11" s="174">
        <f>+M9+M10</f>
        <v>-50296797</v>
      </c>
      <c r="N11" s="174" t="e">
        <f>+N9+N10</f>
        <v>#REF!</v>
      </c>
      <c r="O11" s="174">
        <f>SUM(O9:O10)</f>
        <v>-49562023.5</v>
      </c>
      <c r="P11" s="436" t="e">
        <f>SUM(P9:P10)</f>
        <v>#REF!</v>
      </c>
      <c r="Q11" s="416"/>
      <c r="R11" s="416"/>
      <c r="S11" s="416"/>
      <c r="T11" s="416"/>
      <c r="U11" s="416"/>
      <c r="V11" s="416"/>
      <c r="W11" s="416"/>
      <c r="X11" s="416"/>
      <c r="Y11" s="416"/>
      <c r="Z11" s="416"/>
      <c r="AA11" s="416"/>
      <c r="AB11" s="437" t="e">
        <f>+AB9+AB10</f>
        <v>#REF!</v>
      </c>
      <c r="AC11" s="438">
        <f>I11+K11+M11+O11+Q11+S11+U11+Y11+AA11+W11+1</f>
        <v>-205694163.38</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2074464</v>
      </c>
      <c r="J17" s="434">
        <v>6370416.92</v>
      </c>
      <c r="K17" s="434">
        <v>5846857.12</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7921321.12</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2074464</v>
      </c>
      <c r="J19" s="174">
        <v>6370416.92</v>
      </c>
      <c r="K19" s="174">
        <f>SUM(K15:K18)</f>
        <v>5846857.12</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7921321.12</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14907807</v>
      </c>
      <c r="J22" s="434">
        <v>6280366.869999999</v>
      </c>
      <c r="K22" s="434">
        <v>4977040.02</v>
      </c>
      <c r="L22" s="434" t="e">
        <f>#REF!</f>
        <v>#REF!</v>
      </c>
      <c r="M22" s="434">
        <v>9954557</v>
      </c>
      <c r="N22" s="434" t="e">
        <f>#REF!</f>
        <v>#REF!</v>
      </c>
      <c r="O22" s="434">
        <v>9945728</v>
      </c>
      <c r="P22" s="434" t="e">
        <f>#REF!</f>
        <v>#REF!</v>
      </c>
      <c r="Q22" s="434"/>
      <c r="R22" s="434"/>
      <c r="S22" s="434"/>
      <c r="T22" s="434"/>
      <c r="U22" s="434"/>
      <c r="V22" s="434"/>
      <c r="W22" s="434"/>
      <c r="X22" s="434"/>
      <c r="Y22" s="434"/>
      <c r="Z22" s="434"/>
      <c r="AA22" s="434"/>
      <c r="AB22" s="434" t="e">
        <f>#REF!</f>
        <v>#REF!</v>
      </c>
      <c r="AC22" s="434">
        <f aca="true" t="shared" si="1" ref="AC22:AD24">I22+K22+M22+O22+Q22+S22+U22+Y22+AA22+W22</f>
        <v>39785132.019999996</v>
      </c>
      <c r="AD22" s="434" t="e">
        <f t="shared" si="1"/>
        <v>#REF!</v>
      </c>
      <c r="AE22" s="349" t="e">
        <f>#REF!</f>
        <v>#REF!</v>
      </c>
    </row>
    <row r="23" spans="2:32" ht="15.75">
      <c r="B23" s="291"/>
      <c r="C23" s="297"/>
      <c r="D23" s="249" t="s">
        <v>243</v>
      </c>
      <c r="E23" s="297" t="s">
        <v>338</v>
      </c>
      <c r="F23" s="297"/>
      <c r="G23" s="442"/>
      <c r="H23" s="347" t="s">
        <v>168</v>
      </c>
      <c r="I23" s="347">
        <v>2611450</v>
      </c>
      <c r="J23" s="434">
        <v>883889</v>
      </c>
      <c r="K23" s="434">
        <v>758827.18</v>
      </c>
      <c r="L23" s="434" t="e">
        <f>#REF!</f>
        <v>#REF!</v>
      </c>
      <c r="M23" s="434">
        <f>12799992-M22</f>
        <v>2845435</v>
      </c>
      <c r="N23" s="434" t="e">
        <f>#REF!</f>
        <v>#REF!</v>
      </c>
      <c r="O23" s="434">
        <f>12936414-O22</f>
        <v>2990686</v>
      </c>
      <c r="P23" s="434" t="e">
        <f>#REF!</f>
        <v>#REF!</v>
      </c>
      <c r="Q23" s="434"/>
      <c r="R23" s="434"/>
      <c r="S23" s="434"/>
      <c r="T23" s="434"/>
      <c r="U23" s="434"/>
      <c r="V23" s="434"/>
      <c r="W23" s="434"/>
      <c r="X23" s="434"/>
      <c r="Y23" s="434"/>
      <c r="Z23" s="434"/>
      <c r="AA23" s="434"/>
      <c r="AB23" s="434" t="e">
        <f>#REF!</f>
        <v>#REF!</v>
      </c>
      <c r="AC23" s="434">
        <f t="shared" si="1"/>
        <v>9206398.18</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82166627</v>
      </c>
      <c r="J25" s="434">
        <v>72501116.21000001</v>
      </c>
      <c r="K25" s="434">
        <v>73819364.21000001</v>
      </c>
      <c r="L25" s="434">
        <v>-56414291.370000035</v>
      </c>
      <c r="M25" s="434">
        <v>72561965</v>
      </c>
      <c r="N25" s="434">
        <v>-937002649.94</v>
      </c>
      <c r="O25" s="434">
        <v>70839990</v>
      </c>
      <c r="P25" s="434">
        <v>-196312660.29999998</v>
      </c>
      <c r="Q25" s="434"/>
      <c r="R25" s="434"/>
      <c r="S25" s="434"/>
      <c r="T25" s="434"/>
      <c r="U25" s="434"/>
      <c r="V25" s="434"/>
      <c r="W25" s="434"/>
      <c r="X25" s="434"/>
      <c r="Y25" s="434"/>
      <c r="Z25" s="434"/>
      <c r="AA25" s="434"/>
      <c r="AB25" s="434">
        <f>5274209230-5200000</f>
        <v>5269009230</v>
      </c>
      <c r="AC25" s="434">
        <f>I25+K25+M25+O25+Q25+S25+U25+Y25+AA25+W25+1</f>
        <v>299387947.21000004</v>
      </c>
      <c r="AD25" s="434">
        <f>J25+L25+N25+P25+R25+T25+V25+Z25+AB25+X25</f>
        <v>4151780744.6</v>
      </c>
      <c r="AE25" s="349">
        <v>0.25999951362609863</v>
      </c>
    </row>
    <row r="26" spans="2:32" ht="16.5" thickBot="1">
      <c r="B26" s="291"/>
      <c r="C26" s="296"/>
      <c r="D26" s="291"/>
      <c r="E26" s="291"/>
      <c r="F26" s="291"/>
      <c r="G26" s="311" t="s">
        <v>391</v>
      </c>
      <c r="H26" s="347"/>
      <c r="I26" s="446">
        <v>99685884</v>
      </c>
      <c r="J26" s="446">
        <v>79665372.08000001</v>
      </c>
      <c r="K26" s="446">
        <f>SUM(K21:K25)</f>
        <v>79555231.41000001</v>
      </c>
      <c r="L26" s="446" t="e">
        <f>SUM(L21:L25)</f>
        <v>#REF!</v>
      </c>
      <c r="M26" s="446">
        <f>SUM(M21:M25)</f>
        <v>85361957</v>
      </c>
      <c r="N26" s="446" t="e">
        <f>SUM(N21:N25)</f>
        <v>#REF!</v>
      </c>
      <c r="O26" s="446">
        <f>SUM(O22:O25)</f>
        <v>83776404</v>
      </c>
      <c r="P26" s="447" t="e">
        <f>SUM(P22:P25)</f>
        <v>#REF!</v>
      </c>
      <c r="Q26" s="416"/>
      <c r="R26" s="416"/>
      <c r="S26" s="416"/>
      <c r="T26" s="416"/>
      <c r="U26" s="416"/>
      <c r="V26" s="416"/>
      <c r="W26" s="416"/>
      <c r="X26" s="416"/>
      <c r="Y26" s="416"/>
      <c r="Z26" s="416"/>
      <c r="AA26" s="416"/>
      <c r="AB26" s="448" t="e">
        <f>SUM(AB21:AB25)</f>
        <v>#REF!</v>
      </c>
      <c r="AC26" s="449">
        <f>I26+K26+M26+O26+Q26+S26+U26+Y26+AA26+W26+1</f>
        <v>348379477.41</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47306059</v>
      </c>
      <c r="J29" s="334">
        <v>33439399.16000001</v>
      </c>
      <c r="K29" s="334">
        <f aca="true" t="shared" si="2" ref="K29:P29">K28+K26+K19+K11</f>
        <v>34021033.65000002</v>
      </c>
      <c r="L29" s="334" t="e">
        <f t="shared" si="2"/>
        <v>#REF!</v>
      </c>
      <c r="M29" s="334">
        <f t="shared" si="2"/>
        <v>35065160</v>
      </c>
      <c r="N29" s="334" t="e">
        <f t="shared" si="2"/>
        <v>#REF!</v>
      </c>
      <c r="O29" s="334">
        <f t="shared" si="2"/>
        <v>34214380.5</v>
      </c>
      <c r="P29" s="401" t="e">
        <f t="shared" si="2"/>
        <v>#REF!</v>
      </c>
      <c r="Q29" s="416"/>
      <c r="R29" s="416"/>
      <c r="S29" s="416"/>
      <c r="T29" s="416"/>
      <c r="U29" s="416"/>
      <c r="V29" s="416"/>
      <c r="W29" s="416"/>
      <c r="X29" s="416"/>
      <c r="Y29" s="416"/>
      <c r="Z29" s="416"/>
      <c r="AA29" s="416"/>
      <c r="AB29" s="407" t="e">
        <f>AB28+AB26+AB19+AB11</f>
        <v>#REF!</v>
      </c>
      <c r="AC29" s="245">
        <f>AC11+AC19+AC26+AC28</f>
        <v>150606635.15000004</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23979636</v>
      </c>
      <c r="J33" s="434">
        <v>24094163.239999995</v>
      </c>
      <c r="K33" s="434">
        <v>24641917.4</v>
      </c>
      <c r="L33" s="434">
        <v>1927719.1500000001</v>
      </c>
      <c r="M33" s="434">
        <v>25244789</v>
      </c>
      <c r="N33" s="434">
        <v>9484163.41</v>
      </c>
      <c r="O33" s="434">
        <v>25933910</v>
      </c>
      <c r="P33" s="434">
        <v>34728931.88999999</v>
      </c>
      <c r="Q33" s="434"/>
      <c r="R33" s="434"/>
      <c r="S33" s="434"/>
      <c r="T33" s="434"/>
      <c r="U33" s="434"/>
      <c r="V33" s="434"/>
      <c r="W33" s="434"/>
      <c r="X33" s="434"/>
      <c r="Y33" s="434"/>
      <c r="Z33" s="443"/>
      <c r="AA33" s="443"/>
      <c r="AB33" s="434">
        <v>5470799.6</v>
      </c>
      <c r="AC33" s="434">
        <f>I33+K33+M33+O33+Q33+S33+U33+Y33+AA33+W33-1</f>
        <v>99800251.4</v>
      </c>
      <c r="AD33" s="434">
        <f>J33+L33+N33+P33+R33+T33+V33+Z33+AB33+X33</f>
        <v>75705777.28999999</v>
      </c>
      <c r="AE33" s="349">
        <v>335773865.227</v>
      </c>
    </row>
    <row r="34" spans="2:31" ht="15.75">
      <c r="B34" s="291"/>
      <c r="C34" s="336"/>
      <c r="D34" s="297"/>
      <c r="E34" s="249" t="s">
        <v>265</v>
      </c>
      <c r="F34" s="338" t="s">
        <v>204</v>
      </c>
      <c r="G34" s="442"/>
      <c r="H34" s="347" t="s">
        <v>171</v>
      </c>
      <c r="I34" s="347">
        <v>412264</v>
      </c>
      <c r="J34" s="434"/>
      <c r="K34" s="434"/>
      <c r="L34" s="434">
        <v>0</v>
      </c>
      <c r="M34" s="434"/>
      <c r="N34" s="434"/>
      <c r="O34" s="434"/>
      <c r="P34" s="434">
        <v>10917555</v>
      </c>
      <c r="Q34" s="434"/>
      <c r="R34" s="434"/>
      <c r="S34" s="434"/>
      <c r="T34" s="434"/>
      <c r="U34" s="434"/>
      <c r="V34" s="434"/>
      <c r="W34" s="434"/>
      <c r="X34" s="434"/>
      <c r="Y34" s="434"/>
      <c r="Z34" s="434"/>
      <c r="AA34" s="434"/>
      <c r="AB34" s="434">
        <v>184835</v>
      </c>
      <c r="AC34" s="434">
        <f>I34+K34+M34+O34+Q34+S34+U34+Y34+AA34+W34</f>
        <v>412264</v>
      </c>
      <c r="AD34" s="434">
        <f>J34+L34+N34+P34+R34+T34+V34+Z34+AB34+X34</f>
        <v>11102390</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354055</v>
      </c>
      <c r="J38" s="434">
        <v>446701</v>
      </c>
      <c r="K38" s="434">
        <v>446701</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800756</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24745955</v>
      </c>
      <c r="J41" s="174">
        <v>24540864.239999995</v>
      </c>
      <c r="K41" s="174">
        <f aca="true" t="shared" si="3" ref="K41:P41">SUM(K33:K40)</f>
        <v>25088618.4</v>
      </c>
      <c r="L41" s="174" t="e">
        <f t="shared" si="3"/>
        <v>#REF!</v>
      </c>
      <c r="M41" s="174">
        <f t="shared" si="3"/>
        <v>25244789</v>
      </c>
      <c r="N41" s="174" t="e">
        <f t="shared" si="3"/>
        <v>#REF!</v>
      </c>
      <c r="O41" s="174">
        <f t="shared" si="3"/>
        <v>25933910</v>
      </c>
      <c r="P41" s="436" t="e">
        <f t="shared" si="3"/>
        <v>#REF!</v>
      </c>
      <c r="Q41" s="416"/>
      <c r="R41" s="416"/>
      <c r="S41" s="416"/>
      <c r="T41" s="416"/>
      <c r="U41" s="416"/>
      <c r="V41" s="416"/>
      <c r="W41" s="416"/>
      <c r="X41" s="416"/>
      <c r="Y41" s="416"/>
      <c r="Z41" s="416"/>
      <c r="AA41" s="416"/>
      <c r="AB41" s="308" t="e">
        <f>SUM(AB33:AB40)</f>
        <v>#REF!</v>
      </c>
      <c r="AC41" s="444">
        <f>I41+K41+M41+O41+Q41+S41+U41+Y41+AA41+W41-1</f>
        <v>101013271.4</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v>192978</v>
      </c>
      <c r="J44" s="434">
        <v>80758</v>
      </c>
      <c r="K44" s="434">
        <v>93272.5</v>
      </c>
      <c r="L44" s="434" t="e">
        <f>#REF!</f>
        <v>#REF!</v>
      </c>
      <c r="M44" s="434">
        <v>122983</v>
      </c>
      <c r="N44" s="434" t="e">
        <f>#REF!</f>
        <v>#REF!</v>
      </c>
      <c r="O44" s="434">
        <v>62004.5</v>
      </c>
      <c r="P44" s="434">
        <v>0</v>
      </c>
      <c r="Q44" s="434"/>
      <c r="R44" s="434"/>
      <c r="S44" s="434"/>
      <c r="T44" s="434"/>
      <c r="U44" s="434"/>
      <c r="V44" s="434"/>
      <c r="W44" s="434"/>
      <c r="X44" s="434"/>
      <c r="Y44" s="434"/>
      <c r="Z44" s="434"/>
      <c r="AA44" s="434"/>
      <c r="AB44" s="434">
        <v>0</v>
      </c>
      <c r="AC44" s="434">
        <f aca="true" t="shared" si="4" ref="AC44:AD48">I44+K44+M44+O44+Q44+S44+U44+Y44+AA44+W44</f>
        <v>471238</v>
      </c>
      <c r="AD44" s="434" t="e">
        <f t="shared" si="4"/>
        <v>#REF!</v>
      </c>
      <c r="AE44" s="349" t="e">
        <f>#REF!</f>
        <v>#REF!</v>
      </c>
    </row>
    <row r="45" spans="2:31" ht="15.75">
      <c r="B45" s="291"/>
      <c r="C45" s="297"/>
      <c r="D45" s="249" t="s">
        <v>242</v>
      </c>
      <c r="E45" s="297" t="s">
        <v>352</v>
      </c>
      <c r="F45" s="297"/>
      <c r="G45" s="442"/>
      <c r="H45" s="347" t="s">
        <v>175</v>
      </c>
      <c r="I45" s="347">
        <v>16236840</v>
      </c>
      <c r="J45" s="434">
        <v>7424297</v>
      </c>
      <c r="K45" s="434">
        <v>5798623</v>
      </c>
      <c r="L45" s="434">
        <v>0</v>
      </c>
      <c r="M45" s="434">
        <v>5845774</v>
      </c>
      <c r="N45" s="434">
        <v>0</v>
      </c>
      <c r="O45" s="434">
        <v>4138550</v>
      </c>
      <c r="P45" s="434" t="e">
        <f>#REF!</f>
        <v>#REF!</v>
      </c>
      <c r="Q45" s="434"/>
      <c r="R45" s="434"/>
      <c r="S45" s="434"/>
      <c r="T45" s="434"/>
      <c r="U45" s="434"/>
      <c r="V45" s="434"/>
      <c r="W45" s="434"/>
      <c r="X45" s="434"/>
      <c r="Y45" s="434"/>
      <c r="Z45" s="434"/>
      <c r="AA45" s="434"/>
      <c r="AB45" s="434" t="e">
        <f>#REF!</f>
        <v>#REF!</v>
      </c>
      <c r="AC45" s="434">
        <f t="shared" si="4"/>
        <v>32019787</v>
      </c>
      <c r="AD45" s="434" t="e">
        <f t="shared" si="4"/>
        <v>#REF!</v>
      </c>
      <c r="AE45" s="349" t="e">
        <f>#REF!</f>
        <v>#REF!</v>
      </c>
    </row>
    <row r="46" spans="2:31" ht="15.75">
      <c r="B46" s="291"/>
      <c r="C46" s="297"/>
      <c r="D46" s="249" t="s">
        <v>243</v>
      </c>
      <c r="E46" s="297" t="s">
        <v>353</v>
      </c>
      <c r="F46" s="297"/>
      <c r="G46" s="442"/>
      <c r="H46" s="347" t="s">
        <v>176</v>
      </c>
      <c r="I46" s="347">
        <v>4990800</v>
      </c>
      <c r="J46" s="434">
        <v>1381270</v>
      </c>
      <c r="K46" s="434">
        <v>2940480.75</v>
      </c>
      <c r="L46" s="434" t="e">
        <f>#REF!</f>
        <v>#REF!</v>
      </c>
      <c r="M46" s="434">
        <v>1818480</v>
      </c>
      <c r="N46" s="434" t="e">
        <f>#REF!</f>
        <v>#REF!</v>
      </c>
      <c r="O46" s="434">
        <v>3605471</v>
      </c>
      <c r="P46" s="434" t="e">
        <f>#REF!</f>
        <v>#REF!</v>
      </c>
      <c r="Q46" s="434"/>
      <c r="R46" s="434"/>
      <c r="S46" s="434"/>
      <c r="T46" s="434"/>
      <c r="U46" s="434"/>
      <c r="V46" s="434"/>
      <c r="W46" s="434"/>
      <c r="X46" s="434"/>
      <c r="Y46" s="434"/>
      <c r="Z46" s="434"/>
      <c r="AA46" s="434"/>
      <c r="AB46" s="434" t="e">
        <f>#REF!</f>
        <v>#REF!</v>
      </c>
      <c r="AC46" s="434">
        <f t="shared" si="4"/>
        <v>13355231.75</v>
      </c>
      <c r="AD46" s="434" t="e">
        <f t="shared" si="4"/>
        <v>#REF!</v>
      </c>
      <c r="AE46" s="349" t="e">
        <f>#REF!</f>
        <v>#REF!</v>
      </c>
    </row>
    <row r="47" spans="2:31" ht="15.75">
      <c r="B47" s="291"/>
      <c r="C47" s="297"/>
      <c r="D47" s="249" t="s">
        <v>252</v>
      </c>
      <c r="E47" s="297" t="s">
        <v>354</v>
      </c>
      <c r="F47" s="297"/>
      <c r="G47" s="442"/>
      <c r="H47" s="347" t="s">
        <v>177</v>
      </c>
      <c r="I47" s="347">
        <v>1139487</v>
      </c>
      <c r="J47" s="434">
        <v>12210</v>
      </c>
      <c r="K47" s="434">
        <f>100038-2248</f>
        <v>97790</v>
      </c>
      <c r="L47" s="434" t="e">
        <f>#REF!</f>
        <v>#REF!</v>
      </c>
      <c r="M47" s="434">
        <v>2033134</v>
      </c>
      <c r="N47" s="434" t="e">
        <f>#REF!</f>
        <v>#REF!</v>
      </c>
      <c r="O47" s="434">
        <v>474445</v>
      </c>
      <c r="P47" s="434" t="e">
        <f>#REF!</f>
        <v>#REF!</v>
      </c>
      <c r="Q47" s="434"/>
      <c r="R47" s="434"/>
      <c r="S47" s="434"/>
      <c r="T47" s="434"/>
      <c r="U47" s="434"/>
      <c r="V47" s="434"/>
      <c r="W47" s="434"/>
      <c r="X47" s="434"/>
      <c r="Y47" s="434"/>
      <c r="Z47" s="434"/>
      <c r="AA47" s="434"/>
      <c r="AB47" s="434" t="e">
        <f>#REF!</f>
        <v>#REF!</v>
      </c>
      <c r="AC47" s="434">
        <f t="shared" si="4"/>
        <v>3744856</v>
      </c>
      <c r="AD47" s="434" t="e">
        <f t="shared" si="4"/>
        <v>#REF!</v>
      </c>
      <c r="AE47" s="349" t="e">
        <f>#REF!</f>
        <v>#REF!</v>
      </c>
    </row>
    <row r="48" spans="2:31" ht="15.75">
      <c r="B48" s="291"/>
      <c r="C48" s="296"/>
      <c r="D48" s="249" t="s">
        <v>274</v>
      </c>
      <c r="E48" s="297" t="s">
        <v>355</v>
      </c>
      <c r="F48" s="297"/>
      <c r="G48" s="442"/>
      <c r="H48" s="347" t="s">
        <v>178</v>
      </c>
      <c r="I48" s="347"/>
      <c r="J48" s="434">
        <v>0</v>
      </c>
      <c r="K48" s="434">
        <v>2248</v>
      </c>
      <c r="L48" s="434">
        <v>0</v>
      </c>
      <c r="M48" s="434">
        <v>0</v>
      </c>
      <c r="N48" s="434" t="e">
        <f>#REF!</f>
        <v>#REF!</v>
      </c>
      <c r="O48" s="434">
        <v>0</v>
      </c>
      <c r="P48" s="434" t="e">
        <f>#REF!</f>
        <v>#REF!</v>
      </c>
      <c r="Q48" s="434"/>
      <c r="R48" s="434"/>
      <c r="S48" s="434"/>
      <c r="T48" s="434"/>
      <c r="U48" s="434"/>
      <c r="V48" s="434"/>
      <c r="W48" s="434"/>
      <c r="X48" s="434"/>
      <c r="Y48" s="434"/>
      <c r="Z48" s="434"/>
      <c r="AA48" s="434"/>
      <c r="AB48" s="434">
        <v>0</v>
      </c>
      <c r="AC48" s="434">
        <f t="shared" si="4"/>
        <v>2248</v>
      </c>
      <c r="AD48" s="460" t="e">
        <f t="shared" si="4"/>
        <v>#REF!</v>
      </c>
      <c r="AE48" s="349" t="e">
        <f>#REF!</f>
        <v>#REF!</v>
      </c>
    </row>
    <row r="49" spans="2:32" ht="15.75">
      <c r="B49" s="291"/>
      <c r="C49" s="296"/>
      <c r="D49" s="291"/>
      <c r="E49" s="291"/>
      <c r="F49" s="291"/>
      <c r="G49" s="311" t="s">
        <v>393</v>
      </c>
      <c r="H49" s="347"/>
      <c r="I49" s="174">
        <v>22560105</v>
      </c>
      <c r="J49" s="174">
        <v>8898535</v>
      </c>
      <c r="K49" s="174">
        <f aca="true" t="shared" si="5" ref="K49:P49">SUM(K43:K48)</f>
        <v>8932414.25</v>
      </c>
      <c r="L49" s="174" t="e">
        <f t="shared" si="5"/>
        <v>#REF!</v>
      </c>
      <c r="M49" s="174">
        <f t="shared" si="5"/>
        <v>9820371</v>
      </c>
      <c r="N49" s="174" t="e">
        <f t="shared" si="5"/>
        <v>#REF!</v>
      </c>
      <c r="O49" s="174">
        <f t="shared" si="5"/>
        <v>8280470.5</v>
      </c>
      <c r="P49" s="436" t="e">
        <f t="shared" si="5"/>
        <v>#REF!</v>
      </c>
      <c r="Q49" s="416"/>
      <c r="R49" s="416"/>
      <c r="S49" s="416"/>
      <c r="T49" s="416"/>
      <c r="U49" s="416"/>
      <c r="V49" s="416"/>
      <c r="W49" s="416"/>
      <c r="X49" s="416"/>
      <c r="Y49" s="416"/>
      <c r="Z49" s="416"/>
      <c r="AA49" s="416"/>
      <c r="AB49" s="437" t="e">
        <f>SUM(AB43:AB48)</f>
        <v>#REF!</v>
      </c>
      <c r="AC49" s="438">
        <f>I49+K49+M49+O49+Q49+S49+U49+Y49+AA49+W49+1</f>
        <v>49593361.75</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47306060</v>
      </c>
      <c r="J51" s="334">
        <v>33439399.239999995</v>
      </c>
      <c r="K51" s="334">
        <f aca="true" t="shared" si="6" ref="K51:P51">+K41+K49</f>
        <v>34021032.65</v>
      </c>
      <c r="L51" s="334" t="e">
        <f t="shared" si="6"/>
        <v>#REF!</v>
      </c>
      <c r="M51" s="334">
        <f t="shared" si="6"/>
        <v>35065160</v>
      </c>
      <c r="N51" s="334" t="e">
        <f t="shared" si="6"/>
        <v>#REF!</v>
      </c>
      <c r="O51" s="334">
        <f t="shared" si="6"/>
        <v>34214380.5</v>
      </c>
      <c r="P51" s="401" t="e">
        <f t="shared" si="6"/>
        <v>#REF!</v>
      </c>
      <c r="Q51" s="416"/>
      <c r="R51" s="416"/>
      <c r="S51" s="416"/>
      <c r="T51" s="416"/>
      <c r="U51" s="416"/>
      <c r="V51" s="416"/>
      <c r="W51" s="416"/>
      <c r="X51" s="416"/>
      <c r="Y51" s="416"/>
      <c r="Z51" s="416"/>
      <c r="AA51" s="416"/>
      <c r="AB51" s="407" t="e">
        <f>+AB41+AB49</f>
        <v>#REF!</v>
      </c>
      <c r="AC51" s="245">
        <f>I51+K51+M51+O51+Q51+S51+U51+Y51+AA51+W51</f>
        <v>150606633.15</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-1</v>
      </c>
      <c r="J53" s="350">
        <f aca="true" t="shared" si="7" ref="J53:P53">J51-J29</f>
        <v>0.07999998331069946</v>
      </c>
      <c r="K53" s="350">
        <f t="shared" si="7"/>
        <v>-1.0000000223517418</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-2.0000000298023224</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16.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L1" sqref="L1"/>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407</v>
      </c>
      <c r="I6" s="514" t="s">
        <v>407</v>
      </c>
      <c r="J6" s="514" t="s">
        <v>407</v>
      </c>
      <c r="K6" s="514" t="s">
        <v>407</v>
      </c>
      <c r="L6" s="514" t="s">
        <v>407</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40516781</v>
      </c>
      <c r="I9" s="175">
        <v>18208618</v>
      </c>
      <c r="J9" s="175">
        <v>25991754.22</v>
      </c>
      <c r="K9" s="175">
        <v>15593781</v>
      </c>
      <c r="L9" s="175">
        <v>17591603</v>
      </c>
      <c r="M9" s="175"/>
      <c r="N9" s="175"/>
      <c r="O9" s="175"/>
      <c r="P9" s="175"/>
      <c r="Q9" s="175"/>
      <c r="R9" s="175"/>
      <c r="S9" s="175"/>
      <c r="T9" s="175"/>
      <c r="U9" s="175"/>
      <c r="V9" s="175"/>
      <c r="W9" s="175"/>
      <c r="X9" s="175"/>
      <c r="Y9" s="175"/>
      <c r="Z9" s="175"/>
      <c r="AA9" s="175"/>
      <c r="AB9" s="175">
        <f>+H9+J9+L9+N9+P9+R9+T9+V9+X9+Z9</f>
        <v>84100138.22</v>
      </c>
      <c r="AC9" s="175">
        <f>+I9+K9+M9+O9+Q9+S9+U9+W9+Y9+AA9</f>
        <v>33802399</v>
      </c>
      <c r="AD9" s="191" t="e">
        <f>#REF!</f>
        <v>#REF!</v>
      </c>
      <c r="AE9" s="192"/>
    </row>
    <row r="10" spans="2:31" ht="15.75">
      <c r="B10" s="260" t="s">
        <v>259</v>
      </c>
      <c r="C10" s="32" t="s">
        <v>357</v>
      </c>
      <c r="D10" s="260"/>
      <c r="E10" s="32"/>
      <c r="F10" s="368"/>
      <c r="G10" s="193" t="s">
        <v>180</v>
      </c>
      <c r="H10" s="193">
        <v>619075</v>
      </c>
      <c r="I10" s="175">
        <v>12396476</v>
      </c>
      <c r="J10" s="175">
        <f>160341.91+204201</f>
        <v>364542.91000000003</v>
      </c>
      <c r="K10" s="175">
        <v>10733146</v>
      </c>
      <c r="L10" s="175">
        <v>9919038</v>
      </c>
      <c r="M10" s="175"/>
      <c r="N10" s="175"/>
      <c r="O10" s="175"/>
      <c r="P10" s="175"/>
      <c r="Q10" s="175"/>
      <c r="R10" s="175"/>
      <c r="S10" s="175"/>
      <c r="T10" s="175"/>
      <c r="U10" s="175"/>
      <c r="V10" s="175"/>
      <c r="W10" s="175"/>
      <c r="X10" s="175"/>
      <c r="Y10" s="175"/>
      <c r="Z10" s="175"/>
      <c r="AA10" s="175"/>
      <c r="AB10" s="175">
        <f>+H10+J10+L10+N10+P10+R10+T10+V10+X10+Z10</f>
        <v>10902655.91</v>
      </c>
      <c r="AC10" s="175">
        <f>+I10+K10+M10+O10+Q10+S10+U10+W10+Y10+AA10</f>
        <v>23129622</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41135856</v>
      </c>
      <c r="I12" s="475">
        <v>30605094</v>
      </c>
      <c r="J12" s="475">
        <f>SUM(J9:J11)</f>
        <v>26356297.13</v>
      </c>
      <c r="K12" s="475">
        <f>SUM(K9:K11)</f>
        <v>26326927</v>
      </c>
      <c r="L12" s="476">
        <f>SUM(L9:L11)</f>
        <v>27510641</v>
      </c>
      <c r="M12" s="477"/>
      <c r="N12" s="477"/>
      <c r="O12" s="477"/>
      <c r="P12" s="477"/>
      <c r="Q12" s="477"/>
      <c r="R12" s="477"/>
      <c r="S12" s="477"/>
      <c r="T12" s="477"/>
      <c r="U12" s="477"/>
      <c r="V12" s="477"/>
      <c r="W12" s="477"/>
      <c r="X12" s="477"/>
      <c r="Y12" s="477"/>
      <c r="Z12" s="477"/>
      <c r="AA12" s="477"/>
      <c r="AB12" s="478">
        <f>+H12+J12+L12+N12+P12+R12+T12+V12+X12+Z12</f>
        <v>95002794.13</v>
      </c>
      <c r="AC12" s="479">
        <f>+I12+K12+M12+O12+Q12+S12+U12+W12+Y12+AA12</f>
        <v>56932021</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18926587</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18926587</v>
      </c>
      <c r="AC14" s="175">
        <f>I14+K14+M14+O14+Q14+S14+U14+Y14+AA14</f>
        <v>0</v>
      </c>
      <c r="AD14" s="191" t="e">
        <f>#REF!</f>
        <v>#REF!</v>
      </c>
      <c r="AF14" s="192"/>
    </row>
    <row r="15" spans="2:32" ht="15.75">
      <c r="B15" s="32"/>
      <c r="C15" s="249" t="s">
        <v>242</v>
      </c>
      <c r="D15" s="297" t="s">
        <v>361</v>
      </c>
      <c r="E15" s="297"/>
      <c r="F15" s="216"/>
      <c r="G15" s="193" t="s">
        <v>232</v>
      </c>
      <c r="H15" s="193">
        <v>2128582</v>
      </c>
      <c r="I15" s="175">
        <v>13553550</v>
      </c>
      <c r="J15" s="175">
        <v>10674031.170000002</v>
      </c>
      <c r="K15" s="175">
        <v>12738921</v>
      </c>
      <c r="L15" s="175">
        <v>14989291</v>
      </c>
      <c r="M15" s="175"/>
      <c r="N15" s="175"/>
      <c r="O15" s="175"/>
      <c r="P15" s="175"/>
      <c r="Q15" s="175"/>
      <c r="R15" s="175"/>
      <c r="S15" s="175"/>
      <c r="T15" s="175"/>
      <c r="U15" s="175"/>
      <c r="V15" s="175"/>
      <c r="W15" s="175"/>
      <c r="X15" s="175"/>
      <c r="Y15" s="175"/>
      <c r="Z15" s="175"/>
      <c r="AA15" s="175"/>
      <c r="AB15" s="175">
        <f>+H15+J15+L15+N15+P15+R15+T15+V15+X15+Z15</f>
        <v>27791904.17</v>
      </c>
      <c r="AC15" s="175">
        <f>I15+K15+M15+O15+Q15+S15+U15+Y15+AA15+W15</f>
        <v>26292471</v>
      </c>
      <c r="AD15" s="191">
        <v>7993970783.59</v>
      </c>
      <c r="AF15" s="192"/>
    </row>
    <row r="16" spans="2:32" ht="15.75" customHeight="1">
      <c r="B16" s="32"/>
      <c r="C16" s="249" t="s">
        <v>243</v>
      </c>
      <c r="D16" s="555" t="s">
        <v>374</v>
      </c>
      <c r="E16" s="555"/>
      <c r="F16" s="555"/>
      <c r="G16" s="550" t="s">
        <v>233</v>
      </c>
      <c r="H16" s="550">
        <v>-112220</v>
      </c>
      <c r="I16" s="551">
        <v>12515</v>
      </c>
      <c r="J16" s="529">
        <v>29710</v>
      </c>
      <c r="K16" s="551">
        <f>62004-122983</f>
        <v>-60979</v>
      </c>
      <c r="L16" s="551">
        <f>63188-62005</f>
        <v>1183</v>
      </c>
      <c r="M16" s="551"/>
      <c r="N16" s="551"/>
      <c r="O16" s="551"/>
      <c r="P16" s="551"/>
      <c r="Q16" s="551"/>
      <c r="R16" s="551"/>
      <c r="S16" s="551"/>
      <c r="T16" s="551"/>
      <c r="U16" s="551"/>
      <c r="V16" s="551"/>
      <c r="W16" s="551"/>
      <c r="X16" s="551"/>
      <c r="Y16" s="551"/>
      <c r="Z16" s="551"/>
      <c r="AA16" s="551"/>
      <c r="AB16" s="175">
        <f>+J16+L16+T16+V16</f>
        <v>30893</v>
      </c>
      <c r="AC16" s="551">
        <f>+K16+M16+U16+W16</f>
        <v>-60979</v>
      </c>
      <c r="AD16" s="552">
        <v>1821947.9</v>
      </c>
      <c r="AF16" s="192"/>
    </row>
    <row r="17" spans="2:32" ht="16.5" customHeight="1">
      <c r="B17" s="32"/>
      <c r="C17" s="249"/>
      <c r="D17" s="555"/>
      <c r="E17" s="555"/>
      <c r="F17" s="555"/>
      <c r="G17" s="550"/>
      <c r="H17" s="550"/>
      <c r="I17" s="551"/>
      <c r="J17" s="529"/>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11584876</v>
      </c>
      <c r="I18" s="175">
        <v>9252501</v>
      </c>
      <c r="J18" s="175">
        <v>8564242.1</v>
      </c>
      <c r="K18" s="175">
        <v>8398122</v>
      </c>
      <c r="L18" s="175">
        <v>7142552</v>
      </c>
      <c r="M18" s="175"/>
      <c r="N18" s="175"/>
      <c r="O18" s="175"/>
      <c r="P18" s="175"/>
      <c r="Q18" s="175"/>
      <c r="R18" s="175"/>
      <c r="S18" s="175"/>
      <c r="T18" s="175"/>
      <c r="U18" s="175"/>
      <c r="V18" s="175"/>
      <c r="W18" s="175"/>
      <c r="X18" s="175"/>
      <c r="Y18" s="175"/>
      <c r="Z18" s="175"/>
      <c r="AA18" s="175"/>
      <c r="AB18" s="175">
        <f>+H18+J18+L18+N18+P18+R18+T18+V18+X18+Z18</f>
        <v>27291670.1</v>
      </c>
      <c r="AC18" s="175">
        <f>+I18+K18+M18+O18+Q18+S18+U18+W18+Y18+AA18</f>
        <v>17650623</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976671</v>
      </c>
      <c r="I20" s="175">
        <v>800423.8400000001</v>
      </c>
      <c r="J20" s="175">
        <v>820047.0999999999</v>
      </c>
      <c r="K20" s="175">
        <v>743465</v>
      </c>
      <c r="L20" s="175">
        <v>790484</v>
      </c>
      <c r="M20" s="175"/>
      <c r="N20" s="175"/>
      <c r="O20" s="175"/>
      <c r="P20" s="175"/>
      <c r="Q20" s="175"/>
      <c r="R20" s="175"/>
      <c r="S20" s="175"/>
      <c r="T20" s="175"/>
      <c r="U20" s="175"/>
      <c r="V20" s="175"/>
      <c r="W20" s="175"/>
      <c r="X20" s="175"/>
      <c r="Y20" s="175"/>
      <c r="Z20" s="175"/>
      <c r="AA20" s="175"/>
      <c r="AB20" s="175">
        <f>+H20+J20+L20+N20+P20+R20+T20+V20+X20+Z20</f>
        <v>2587202.0999999996</v>
      </c>
      <c r="AC20" s="175">
        <f>+I20+K20+M20+O20+Q20+S20+U20+W20+Y20+AA20</f>
        <v>1543888.84</v>
      </c>
      <c r="AD20" s="191">
        <v>15784125.999999998</v>
      </c>
      <c r="AF20" s="192"/>
    </row>
    <row r="21" spans="2:32" ht="15.75">
      <c r="B21" s="176"/>
      <c r="C21" s="249" t="s">
        <v>287</v>
      </c>
      <c r="D21" s="297" t="s">
        <v>365</v>
      </c>
      <c r="F21" s="216"/>
      <c r="G21" s="193" t="s">
        <v>235</v>
      </c>
      <c r="H21" s="193">
        <v>9489258</v>
      </c>
      <c r="I21" s="175">
        <v>8201440</v>
      </c>
      <c r="J21" s="175">
        <v>7352521.119999999</v>
      </c>
      <c r="K21" s="175">
        <f>5234092+3100+4980</f>
        <v>5242172</v>
      </c>
      <c r="L21" s="175">
        <f>4671997+93245+94296</f>
        <v>4859538</v>
      </c>
      <c r="M21" s="175"/>
      <c r="N21" s="175"/>
      <c r="O21" s="175"/>
      <c r="P21" s="175"/>
      <c r="Q21" s="175"/>
      <c r="R21" s="175"/>
      <c r="S21" s="175"/>
      <c r="T21" s="175"/>
      <c r="U21" s="175"/>
      <c r="V21" s="175"/>
      <c r="W21" s="175"/>
      <c r="X21" s="175"/>
      <c r="Y21" s="175"/>
      <c r="Z21" s="175"/>
      <c r="AA21" s="175"/>
      <c r="AB21" s="175">
        <f>+H21+J21+L21+N21+P21+R21+T21+V21+X21+Z21</f>
        <v>21701317.119999997</v>
      </c>
      <c r="AC21" s="175">
        <f>+I21+K21+M21+O21+Q21+S21+U21+W21+Y21+AA21</f>
        <v>13443612</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42993754</v>
      </c>
      <c r="I23" s="481">
        <v>31820429.84</v>
      </c>
      <c r="J23" s="481">
        <f>SUM(J14:J22)</f>
        <v>27440551.490000002</v>
      </c>
      <c r="K23" s="481">
        <f>SUM(K14:K22)</f>
        <v>27061701</v>
      </c>
      <c r="L23" s="482">
        <f>SUM(L15:L22)</f>
        <v>27783048</v>
      </c>
      <c r="M23" s="483"/>
      <c r="N23" s="483"/>
      <c r="O23" s="483"/>
      <c r="P23" s="483"/>
      <c r="Q23" s="483"/>
      <c r="R23" s="483"/>
      <c r="S23" s="483"/>
      <c r="T23" s="483"/>
      <c r="U23" s="483"/>
      <c r="V23" s="483"/>
      <c r="W23" s="483"/>
      <c r="X23" s="483"/>
      <c r="Y23" s="483"/>
      <c r="Z23" s="483"/>
      <c r="AA23" s="483"/>
      <c r="AB23" s="478">
        <f>+H23+J23+L23+N23+P23+R23+T23+V23+X23+Z23+1</f>
        <v>98217354.49000001</v>
      </c>
      <c r="AC23" s="479">
        <f>+I23+K23+M23+O23+Q23+S23+U23+W23+Y23+AA23</f>
        <v>58882130.84</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-1857898</v>
      </c>
      <c r="I25" s="178">
        <v>-1215335.84</v>
      </c>
      <c r="J25" s="178">
        <f>+J12-J23</f>
        <v>-1084254.3600000031</v>
      </c>
      <c r="K25" s="178">
        <f>+K12-K23</f>
        <v>-734774</v>
      </c>
      <c r="L25" s="178">
        <f>+L12-L23</f>
        <v>-272407</v>
      </c>
      <c r="M25" s="178"/>
      <c r="N25" s="178"/>
      <c r="O25" s="178"/>
      <c r="P25" s="178"/>
      <c r="Q25" s="178"/>
      <c r="R25" s="178"/>
      <c r="S25" s="178"/>
      <c r="T25" s="178"/>
      <c r="U25" s="178"/>
      <c r="V25" s="178"/>
      <c r="W25" s="178"/>
      <c r="X25" s="178"/>
      <c r="Y25" s="178"/>
      <c r="Z25" s="178"/>
      <c r="AA25" s="178"/>
      <c r="AB25" s="175">
        <f>+H25+J25+L25+N25+P25+R25+T25+V25+X25+Z25</f>
        <v>-3214559.360000003</v>
      </c>
      <c r="AC25" s="175">
        <f>+I25+K25+M25+O25+Q25+S25+U25+W25+Y25+AA25</f>
        <v>-1950109.84</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-1857898</v>
      </c>
      <c r="I28" s="180">
        <v>-1215335.84</v>
      </c>
      <c r="J28" s="180">
        <f>+J25-J27</f>
        <v>-1084254.3600000031</v>
      </c>
      <c r="K28" s="180">
        <f>+K25-K27</f>
        <v>-734774</v>
      </c>
      <c r="L28" s="180">
        <f>+L25-L27</f>
        <v>-272407</v>
      </c>
      <c r="M28" s="180"/>
      <c r="N28" s="180"/>
      <c r="O28" s="180"/>
      <c r="P28" s="180"/>
      <c r="Q28" s="180"/>
      <c r="R28" s="180"/>
      <c r="S28" s="180"/>
      <c r="T28" s="180"/>
      <c r="U28" s="180"/>
      <c r="V28" s="180"/>
      <c r="W28" s="180"/>
      <c r="X28" s="180"/>
      <c r="Y28" s="180"/>
      <c r="Z28" s="180"/>
      <c r="AA28" s="180"/>
      <c r="AB28" s="175">
        <f>+H28+J28+L28+N28+P28+R28+T28+V28+X28+Z28</f>
        <v>-3214559.360000003</v>
      </c>
      <c r="AC28" s="175">
        <f>+I28+K28+M28+O28+Q28+S28+U28+W28+Y28+AA28</f>
        <v>-1950109.84</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-1857898</v>
      </c>
      <c r="I30" s="487">
        <v>-1215335.84</v>
      </c>
      <c r="J30" s="487">
        <f>+J28-J29</f>
        <v>-1084254.3600000031</v>
      </c>
      <c r="K30" s="487">
        <f>+K28-K29</f>
        <v>-734774</v>
      </c>
      <c r="L30" s="487">
        <f>+L28-L29</f>
        <v>-272407</v>
      </c>
      <c r="M30" s="487"/>
      <c r="N30" s="487"/>
      <c r="O30" s="487"/>
      <c r="P30" s="487"/>
      <c r="Q30" s="487"/>
      <c r="R30" s="487"/>
      <c r="S30" s="487"/>
      <c r="T30" s="487"/>
      <c r="U30" s="487"/>
      <c r="V30" s="487"/>
      <c r="W30" s="487"/>
      <c r="X30" s="487"/>
      <c r="Y30" s="487"/>
      <c r="Z30" s="487"/>
      <c r="AA30" s="487"/>
      <c r="AB30" s="175">
        <f>+H30+J30+L30+N30+P30+R30+T30+V30+X30+Z30</f>
        <v>-3214559.360000003</v>
      </c>
      <c r="AC30" s="175">
        <f>+I30+K30+M30+O30+Q30+S30+U30+W30+Y30+AA30</f>
        <v>-1950109.84</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-1857898</v>
      </c>
      <c r="I37" s="487">
        <v>-1215335.84</v>
      </c>
      <c r="J37" s="487">
        <f>+J30-J35</f>
        <v>-1084254.3600000031</v>
      </c>
      <c r="K37" s="487">
        <f>+K30-K35</f>
        <v>-734774</v>
      </c>
      <c r="L37" s="487">
        <f>+L30-L35</f>
        <v>-272407</v>
      </c>
      <c r="M37" s="487"/>
      <c r="N37" s="487"/>
      <c r="O37" s="487"/>
      <c r="P37" s="487"/>
      <c r="Q37" s="487"/>
      <c r="R37" s="487"/>
      <c r="S37" s="487"/>
      <c r="T37" s="487"/>
      <c r="U37" s="487"/>
      <c r="V37" s="487"/>
      <c r="W37" s="487"/>
      <c r="X37" s="487"/>
      <c r="Y37" s="487"/>
      <c r="Z37" s="487"/>
      <c r="AA37" s="487"/>
      <c r="AB37" s="175">
        <f>+H37+J37+L37+N37+P37+R37+T37+V37+X37+Z37</f>
        <v>-3214559.360000003</v>
      </c>
      <c r="AC37" s="175">
        <f>+I37+K37+M37+O37+Q37+S37+U37+W37+Y37+AA37</f>
        <v>-1950109.84</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-1857898</v>
      </c>
      <c r="I41" s="200">
        <v>-1215335.84</v>
      </c>
      <c r="J41" s="200">
        <f>+J37+J40</f>
        <v>-1084254.3600000031</v>
      </c>
      <c r="K41" s="200">
        <f>+K37+K40</f>
        <v>-734774</v>
      </c>
      <c r="L41" s="384">
        <f>+L37+L40</f>
        <v>-272407</v>
      </c>
      <c r="M41" s="399"/>
      <c r="N41" s="399"/>
      <c r="O41" s="399"/>
      <c r="P41" s="399"/>
      <c r="Q41" s="399"/>
      <c r="R41" s="399"/>
      <c r="S41" s="399"/>
      <c r="T41" s="399"/>
      <c r="U41" s="399"/>
      <c r="V41" s="399"/>
      <c r="W41" s="399"/>
      <c r="X41" s="399"/>
      <c r="Y41" s="399"/>
      <c r="Z41" s="399"/>
      <c r="AA41" s="399"/>
      <c r="AB41" s="491">
        <f>+H41+J41+L41+N41+P41+R41+T41+V41+X41+Z41</f>
        <v>-3214559.360000003</v>
      </c>
      <c r="AC41" s="492">
        <f>+I41+K41+M41+O41+Q41+S41+U41+W41+Y41+AA41</f>
        <v>-1950109.84</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17.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O5" sqref="O5"/>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7" t="s">
        <v>387</v>
      </c>
      <c r="J5" s="517" t="s">
        <v>387</v>
      </c>
      <c r="K5" s="517" t="s">
        <v>387</v>
      </c>
      <c r="L5" s="425" t="s">
        <v>387</v>
      </c>
      <c r="M5" s="517" t="s">
        <v>387</v>
      </c>
      <c r="N5" s="425" t="s">
        <v>387</v>
      </c>
      <c r="O5" s="517" t="s">
        <v>387</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426"/>
      <c r="J6" s="425"/>
      <c r="K6" s="425"/>
      <c r="L6" s="425"/>
      <c r="M6" s="425"/>
      <c r="N6" s="425"/>
      <c r="O6" s="425"/>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177840025</v>
      </c>
      <c r="J10" s="434">
        <v>136155099.45999998</v>
      </c>
      <c r="K10" s="434">
        <v>101204006.78</v>
      </c>
      <c r="L10" s="434" t="e">
        <f>#REF!</f>
        <v>#REF!</v>
      </c>
      <c r="M10" s="434">
        <v>14525636</v>
      </c>
      <c r="N10" s="434" t="e">
        <f>#REF!</f>
        <v>#REF!</v>
      </c>
      <c r="O10" s="434">
        <v>-63297971</v>
      </c>
      <c r="P10" s="434" t="e">
        <f>#REF!</f>
        <v>#REF!</v>
      </c>
      <c r="Q10" s="434"/>
      <c r="R10" s="434"/>
      <c r="S10" s="434"/>
      <c r="T10" s="434"/>
      <c r="U10" s="434"/>
      <c r="V10" s="434"/>
      <c r="W10" s="434"/>
      <c r="X10" s="434"/>
      <c r="Y10" s="434"/>
      <c r="Z10" s="434"/>
      <c r="AA10" s="434"/>
      <c r="AB10" s="434" t="e">
        <f>#REF!</f>
        <v>#REF!</v>
      </c>
      <c r="AC10" s="434">
        <f>I10+K10+M10+O10+Q10+S10+U10+Y10+AA10+W10+1</f>
        <v>230271697.77999997</v>
      </c>
      <c r="AD10" s="434" t="e">
        <f>J10+L10+N10+P10+R10+T10+V10+Z10+AB10+X10</f>
        <v>#REF!</v>
      </c>
      <c r="AE10" s="349" t="e">
        <f>#REF!</f>
        <v>#REF!</v>
      </c>
      <c r="AF10" s="185"/>
    </row>
    <row r="11" spans="2:32" ht="15.75">
      <c r="B11" s="291"/>
      <c r="C11" s="435"/>
      <c r="D11" s="296"/>
      <c r="E11" s="291"/>
      <c r="F11" s="291"/>
      <c r="G11" s="311" t="s">
        <v>389</v>
      </c>
      <c r="H11" s="347"/>
      <c r="I11" s="174">
        <v>177840025</v>
      </c>
      <c r="J11" s="174">
        <v>136155099.45999998</v>
      </c>
      <c r="K11" s="174">
        <f>SUM(K9:K10)</f>
        <v>101204006.78</v>
      </c>
      <c r="L11" s="174" t="e">
        <f>SUM(L9:L10)</f>
        <v>#REF!</v>
      </c>
      <c r="M11" s="174">
        <f>+M9+M10</f>
        <v>14525636</v>
      </c>
      <c r="N11" s="174" t="e">
        <f>+N9+N10</f>
        <v>#REF!</v>
      </c>
      <c r="O11" s="174">
        <f>SUM(O9:O10)</f>
        <v>-63297971</v>
      </c>
      <c r="P11" s="436" t="e">
        <f>SUM(P9:P10)</f>
        <v>#REF!</v>
      </c>
      <c r="Q11" s="416"/>
      <c r="R11" s="416"/>
      <c r="S11" s="416"/>
      <c r="T11" s="416"/>
      <c r="U11" s="416"/>
      <c r="V11" s="416"/>
      <c r="W11" s="416"/>
      <c r="X11" s="416"/>
      <c r="Y11" s="416"/>
      <c r="Z11" s="416"/>
      <c r="AA11" s="416"/>
      <c r="AB11" s="437" t="e">
        <f>+AB9+AB10</f>
        <v>#REF!</v>
      </c>
      <c r="AC11" s="438">
        <f>I11+K11+M11+O11+Q11+S11+U11+Y11+AA11+W11+1</f>
        <v>230271697.77999997</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95268661</v>
      </c>
      <c r="J17" s="434">
        <v>82204697</v>
      </c>
      <c r="K17" s="434">
        <v>4931232</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100199893</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95268661</v>
      </c>
      <c r="J19" s="174">
        <v>82204697</v>
      </c>
      <c r="K19" s="174">
        <f>SUM(K15:K18)</f>
        <v>4931232</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100199893</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57348194</v>
      </c>
      <c r="J22" s="434">
        <v>27170816</v>
      </c>
      <c r="K22" s="434">
        <v>64678330</v>
      </c>
      <c r="L22" s="434" t="e">
        <f>#REF!</f>
        <v>#REF!</v>
      </c>
      <c r="M22" s="434">
        <v>7767370</v>
      </c>
      <c r="N22" s="434" t="e">
        <f>#REF!</f>
        <v>#REF!</v>
      </c>
      <c r="O22" s="434">
        <v>400937</v>
      </c>
      <c r="P22" s="434" t="e">
        <f>#REF!</f>
        <v>#REF!</v>
      </c>
      <c r="Q22" s="434"/>
      <c r="R22" s="434"/>
      <c r="S22" s="434"/>
      <c r="T22" s="434"/>
      <c r="U22" s="434"/>
      <c r="V22" s="434"/>
      <c r="W22" s="434"/>
      <c r="X22" s="434"/>
      <c r="Y22" s="434"/>
      <c r="Z22" s="434"/>
      <c r="AA22" s="434"/>
      <c r="AB22" s="434" t="e">
        <f>#REF!</f>
        <v>#REF!</v>
      </c>
      <c r="AC22" s="434">
        <f aca="true" t="shared" si="1" ref="AC22:AD24">I22+K22+M22+O22+Q22+S22+U22+Y22+AA22+W22</f>
        <v>130194831</v>
      </c>
      <c r="AD22" s="434" t="e">
        <f t="shared" si="1"/>
        <v>#REF!</v>
      </c>
      <c r="AE22" s="349" t="e">
        <f>#REF!</f>
        <v>#REF!</v>
      </c>
    </row>
    <row r="23" spans="2:32" ht="15.75">
      <c r="B23" s="291"/>
      <c r="C23" s="297"/>
      <c r="D23" s="249" t="s">
        <v>243</v>
      </c>
      <c r="E23" s="297" t="s">
        <v>338</v>
      </c>
      <c r="F23" s="297"/>
      <c r="G23" s="442"/>
      <c r="H23" s="347" t="s">
        <v>168</v>
      </c>
      <c r="I23" s="347">
        <v>-5788368632</v>
      </c>
      <c r="J23" s="434">
        <v>44618551</v>
      </c>
      <c r="K23" s="434">
        <v>115202961</v>
      </c>
      <c r="L23" s="434" t="e">
        <f>#REF!</f>
        <v>#REF!</v>
      </c>
      <c r="M23" s="434">
        <f>49590865-M22</f>
        <v>41823495</v>
      </c>
      <c r="N23" s="434" t="e">
        <f>#REF!</f>
        <v>#REF!</v>
      </c>
      <c r="O23" s="434">
        <f>13610754-O22</f>
        <v>13209817</v>
      </c>
      <c r="P23" s="434" t="e">
        <f>#REF!</f>
        <v>#REF!</v>
      </c>
      <c r="Q23" s="434"/>
      <c r="R23" s="434"/>
      <c r="S23" s="434"/>
      <c r="T23" s="434"/>
      <c r="U23" s="434"/>
      <c r="V23" s="434"/>
      <c r="W23" s="434"/>
      <c r="X23" s="434"/>
      <c r="Y23" s="434"/>
      <c r="Z23" s="434"/>
      <c r="AA23" s="434"/>
      <c r="AB23" s="434" t="e">
        <f>#REF!</f>
        <v>#REF!</v>
      </c>
      <c r="AC23" s="434">
        <f t="shared" si="1"/>
        <v>-5618132359</v>
      </c>
      <c r="AD23" s="434" t="e">
        <f t="shared" si="1"/>
        <v>#REF!</v>
      </c>
      <c r="AE23" s="349" t="e">
        <f>#REF!</f>
        <v>#REF!</v>
      </c>
      <c r="AF23" s="185"/>
    </row>
    <row r="24" spans="2:31" ht="15.75">
      <c r="B24" s="291"/>
      <c r="C24" s="297"/>
      <c r="D24" s="249" t="s">
        <v>252</v>
      </c>
      <c r="E24" s="297" t="s">
        <v>339</v>
      </c>
      <c r="F24" s="297"/>
      <c r="G24" s="442"/>
      <c r="H24" s="347" t="s">
        <v>169</v>
      </c>
      <c r="I24" s="347"/>
      <c r="J24" s="434">
        <v>0</v>
      </c>
      <c r="K24" s="434">
        <v>3261027</v>
      </c>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3261027</v>
      </c>
      <c r="AD24" s="434" t="e">
        <f t="shared" si="1"/>
        <v>#REF!</v>
      </c>
      <c r="AE24" s="349" t="e">
        <f>#REF!</f>
        <v>#REF!</v>
      </c>
    </row>
    <row r="25" spans="2:31" ht="15.75">
      <c r="B25" s="291"/>
      <c r="C25" s="297"/>
      <c r="D25" s="249" t="s">
        <v>274</v>
      </c>
      <c r="E25" s="297" t="s">
        <v>340</v>
      </c>
      <c r="F25" s="297"/>
      <c r="G25" s="442"/>
      <c r="H25" s="347"/>
      <c r="I25" s="347">
        <v>6560139181</v>
      </c>
      <c r="J25" s="434">
        <v>5269009230</v>
      </c>
      <c r="K25" s="434">
        <v>3581683609</v>
      </c>
      <c r="L25" s="434">
        <v>-56414291.370000035</v>
      </c>
      <c r="M25" s="434">
        <v>1850909415</v>
      </c>
      <c r="N25" s="434">
        <v>-937002649.94</v>
      </c>
      <c r="O25" s="434">
        <v>973544709</v>
      </c>
      <c r="P25" s="434">
        <v>-196312660.29999998</v>
      </c>
      <c r="Q25" s="434"/>
      <c r="R25" s="434"/>
      <c r="S25" s="434"/>
      <c r="T25" s="434"/>
      <c r="U25" s="434"/>
      <c r="V25" s="434"/>
      <c r="W25" s="434"/>
      <c r="X25" s="434"/>
      <c r="Y25" s="434"/>
      <c r="Z25" s="434"/>
      <c r="AA25" s="434"/>
      <c r="AB25" s="434">
        <f>5274209230-5200000</f>
        <v>5269009230</v>
      </c>
      <c r="AC25" s="434">
        <f>I25+K25+M25+O25+Q25+S25+U25+Y25+AA25+W25+1</f>
        <v>12966276915</v>
      </c>
      <c r="AD25" s="434">
        <f>J25+L25+N25+P25+R25+T25+V25+Z25+AB25+X25</f>
        <v>9348288858.39</v>
      </c>
      <c r="AE25" s="349">
        <v>0.25999951362609863</v>
      </c>
    </row>
    <row r="26" spans="2:32" ht="16.5" thickBot="1">
      <c r="B26" s="291"/>
      <c r="C26" s="296"/>
      <c r="D26" s="291"/>
      <c r="E26" s="291"/>
      <c r="F26" s="291"/>
      <c r="G26" s="311" t="s">
        <v>391</v>
      </c>
      <c r="H26" s="347"/>
      <c r="I26" s="446">
        <v>829118743</v>
      </c>
      <c r="J26" s="446">
        <v>5340798597</v>
      </c>
      <c r="K26" s="446">
        <f>SUM(K21:K25)</f>
        <v>3764825927</v>
      </c>
      <c r="L26" s="446" t="e">
        <f>SUM(L21:L25)</f>
        <v>#REF!</v>
      </c>
      <c r="M26" s="446">
        <f>SUM(M21:M25)</f>
        <v>1900500280</v>
      </c>
      <c r="N26" s="446" t="e">
        <f>SUM(N21:N25)</f>
        <v>#REF!</v>
      </c>
      <c r="O26" s="446">
        <f>SUM(O22:O25)</f>
        <v>987155463</v>
      </c>
      <c r="P26" s="447" t="e">
        <f>SUM(P22:P25)</f>
        <v>#REF!</v>
      </c>
      <c r="Q26" s="416"/>
      <c r="R26" s="416"/>
      <c r="S26" s="416"/>
      <c r="T26" s="416"/>
      <c r="U26" s="416"/>
      <c r="V26" s="416"/>
      <c r="W26" s="416"/>
      <c r="X26" s="416"/>
      <c r="Y26" s="416"/>
      <c r="Z26" s="416"/>
      <c r="AA26" s="416"/>
      <c r="AB26" s="448" t="e">
        <f>SUM(AB21:AB25)</f>
        <v>#REF!</v>
      </c>
      <c r="AC26" s="449">
        <f>I26+K26+M26+O26+Q26+S26+U26+Y26+AA26+W26+1</f>
        <v>7481600414</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1102227429</v>
      </c>
      <c r="J29" s="334">
        <v>5559158393.46</v>
      </c>
      <c r="K29" s="334">
        <f aca="true" t="shared" si="2" ref="K29:P29">K28+K26+K19+K11</f>
        <v>3870961165.78</v>
      </c>
      <c r="L29" s="334" t="e">
        <f t="shared" si="2"/>
        <v>#REF!</v>
      </c>
      <c r="M29" s="334">
        <f t="shared" si="2"/>
        <v>1915025916</v>
      </c>
      <c r="N29" s="334" t="e">
        <f t="shared" si="2"/>
        <v>#REF!</v>
      </c>
      <c r="O29" s="334">
        <f t="shared" si="2"/>
        <v>923857492</v>
      </c>
      <c r="P29" s="401" t="e">
        <f t="shared" si="2"/>
        <v>#REF!</v>
      </c>
      <c r="Q29" s="416"/>
      <c r="R29" s="416"/>
      <c r="S29" s="416"/>
      <c r="T29" s="416"/>
      <c r="U29" s="416"/>
      <c r="V29" s="416"/>
      <c r="W29" s="416"/>
      <c r="X29" s="416"/>
      <c r="Y29" s="416"/>
      <c r="Z29" s="416"/>
      <c r="AA29" s="416"/>
      <c r="AB29" s="407" t="e">
        <f>AB28+AB26+AB19+AB11</f>
        <v>#REF!</v>
      </c>
      <c r="AC29" s="245">
        <f>AC11+AC19+AC26+AC28</f>
        <v>7812072004.78</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5988868</v>
      </c>
      <c r="J33" s="434">
        <v>5470799.6</v>
      </c>
      <c r="K33" s="434">
        <v>3849917.14</v>
      </c>
      <c r="L33" s="434">
        <v>1927719.1500000001</v>
      </c>
      <c r="M33" s="434">
        <v>2436751</v>
      </c>
      <c r="N33" s="434">
        <v>9484163.41</v>
      </c>
      <c r="O33" s="434">
        <v>1582589</v>
      </c>
      <c r="P33" s="434">
        <v>34728931.88999999</v>
      </c>
      <c r="Q33" s="434"/>
      <c r="R33" s="434"/>
      <c r="S33" s="434"/>
      <c r="T33" s="434"/>
      <c r="U33" s="434"/>
      <c r="V33" s="434"/>
      <c r="W33" s="434"/>
      <c r="X33" s="434"/>
      <c r="Y33" s="434"/>
      <c r="Z33" s="443"/>
      <c r="AA33" s="443"/>
      <c r="AB33" s="434">
        <v>5470799.6</v>
      </c>
      <c r="AC33" s="434">
        <f>I33+K33+M33+O33+Q33+S33+U33+Y33+AA33+W33-1</f>
        <v>13858124.14</v>
      </c>
      <c r="AD33" s="434">
        <f>J33+L33+N33+P33+R33+T33+V33+Z33+AB33+X33</f>
        <v>57082413.65</v>
      </c>
      <c r="AE33" s="349">
        <v>335773865.227</v>
      </c>
    </row>
    <row r="34" spans="2:31" ht="15.75">
      <c r="B34" s="291"/>
      <c r="C34" s="336"/>
      <c r="D34" s="297"/>
      <c r="E34" s="249" t="s">
        <v>265</v>
      </c>
      <c r="F34" s="338" t="s">
        <v>204</v>
      </c>
      <c r="G34" s="442"/>
      <c r="H34" s="347" t="s">
        <v>171</v>
      </c>
      <c r="I34" s="347">
        <v>764715</v>
      </c>
      <c r="J34" s="434">
        <v>184835</v>
      </c>
      <c r="K34" s="434"/>
      <c r="L34" s="434">
        <v>0</v>
      </c>
      <c r="M34" s="434">
        <v>1546418565</v>
      </c>
      <c r="N34" s="434"/>
      <c r="O34" s="434">
        <v>739852242</v>
      </c>
      <c r="P34" s="434">
        <v>10917555</v>
      </c>
      <c r="Q34" s="434"/>
      <c r="R34" s="434"/>
      <c r="S34" s="434"/>
      <c r="T34" s="434"/>
      <c r="U34" s="434"/>
      <c r="V34" s="434"/>
      <c r="W34" s="434"/>
      <c r="X34" s="434"/>
      <c r="Y34" s="434"/>
      <c r="Z34" s="434"/>
      <c r="AA34" s="434"/>
      <c r="AB34" s="434">
        <v>184835</v>
      </c>
      <c r="AC34" s="434">
        <f>I34+K34+M34+O34+Q34+S34+U34+Y34+AA34+W34</f>
        <v>2287035522</v>
      </c>
      <c r="AD34" s="434">
        <f>J34+L34+N34+P34+R34+T34+V34+Z34+AB34+X34</f>
        <v>11287225</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244994008</v>
      </c>
      <c r="J38" s="434">
        <v>5212372339</v>
      </c>
      <c r="K38" s="434">
        <v>3731034397</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3976028405</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251747591</v>
      </c>
      <c r="J41" s="174">
        <v>5218027973.6</v>
      </c>
      <c r="K41" s="174">
        <f aca="true" t="shared" si="3" ref="K41:P41">SUM(K33:K40)</f>
        <v>3734884314.14</v>
      </c>
      <c r="L41" s="174" t="e">
        <f t="shared" si="3"/>
        <v>#REF!</v>
      </c>
      <c r="M41" s="174">
        <f t="shared" si="3"/>
        <v>1548855316</v>
      </c>
      <c r="N41" s="174" t="e">
        <f t="shared" si="3"/>
        <v>#REF!</v>
      </c>
      <c r="O41" s="174">
        <f t="shared" si="3"/>
        <v>741434831</v>
      </c>
      <c r="P41" s="436" t="e">
        <f t="shared" si="3"/>
        <v>#REF!</v>
      </c>
      <c r="Q41" s="416"/>
      <c r="R41" s="416"/>
      <c r="S41" s="416"/>
      <c r="T41" s="416"/>
      <c r="U41" s="416"/>
      <c r="V41" s="416"/>
      <c r="W41" s="416"/>
      <c r="X41" s="416"/>
      <c r="Y41" s="416"/>
      <c r="Z41" s="416"/>
      <c r="AA41" s="416"/>
      <c r="AB41" s="308" t="e">
        <f>SUM(AB33:AB40)</f>
        <v>#REF!</v>
      </c>
      <c r="AC41" s="444">
        <f>I41+K41+M41+O41+Q41+S41+U41+Y41+AA41+W41-1</f>
        <v>6276922051.139999</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v>0</v>
      </c>
      <c r="J44" s="434">
        <v>0</v>
      </c>
      <c r="K44" s="434">
        <v>0</v>
      </c>
      <c r="L44" s="434" t="e">
        <f>#REF!</f>
        <v>#REF!</v>
      </c>
      <c r="M44" s="434">
        <v>111150543</v>
      </c>
      <c r="N44" s="434" t="e">
        <f>#REF!</f>
        <v>#REF!</v>
      </c>
      <c r="O44" s="434"/>
      <c r="P44" s="434">
        <v>0</v>
      </c>
      <c r="Q44" s="434"/>
      <c r="R44" s="434"/>
      <c r="S44" s="434"/>
      <c r="T44" s="434"/>
      <c r="U44" s="434"/>
      <c r="V44" s="434"/>
      <c r="W44" s="434"/>
      <c r="X44" s="434"/>
      <c r="Y44" s="434"/>
      <c r="Z44" s="434"/>
      <c r="AA44" s="434"/>
      <c r="AB44" s="434">
        <v>0</v>
      </c>
      <c r="AC44" s="434">
        <f aca="true" t="shared" si="4" ref="AC44:AD48">I44+K44+M44+O44+Q44+S44+U44+Y44+AA44+W44</f>
        <v>111150543</v>
      </c>
      <c r="AD44" s="434" t="e">
        <f t="shared" si="4"/>
        <v>#REF!</v>
      </c>
      <c r="AE44" s="349" t="e">
        <f>#REF!</f>
        <v>#REF!</v>
      </c>
    </row>
    <row r="45" spans="2:31" ht="15.75">
      <c r="B45" s="291"/>
      <c r="C45" s="297"/>
      <c r="D45" s="249" t="s">
        <v>242</v>
      </c>
      <c r="E45" s="297" t="s">
        <v>352</v>
      </c>
      <c r="F45" s="297"/>
      <c r="G45" s="442"/>
      <c r="H45" s="347" t="s">
        <v>175</v>
      </c>
      <c r="I45" s="347">
        <v>11292077</v>
      </c>
      <c r="J45" s="434">
        <v>18843855</v>
      </c>
      <c r="K45" s="434"/>
      <c r="L45" s="434">
        <v>0</v>
      </c>
      <c r="M45" s="434"/>
      <c r="N45" s="434">
        <v>0</v>
      </c>
      <c r="O45" s="434">
        <v>0</v>
      </c>
      <c r="P45" s="434" t="e">
        <f>#REF!</f>
        <v>#REF!</v>
      </c>
      <c r="Q45" s="434"/>
      <c r="R45" s="434"/>
      <c r="S45" s="434"/>
      <c r="T45" s="434"/>
      <c r="U45" s="434"/>
      <c r="V45" s="434"/>
      <c r="W45" s="434"/>
      <c r="X45" s="434"/>
      <c r="Y45" s="434"/>
      <c r="Z45" s="434"/>
      <c r="AA45" s="434"/>
      <c r="AB45" s="434" t="e">
        <f>#REF!</f>
        <v>#REF!</v>
      </c>
      <c r="AC45" s="434">
        <f t="shared" si="4"/>
        <v>11292077</v>
      </c>
      <c r="AD45" s="434" t="e">
        <f t="shared" si="4"/>
        <v>#REF!</v>
      </c>
      <c r="AE45" s="349" t="e">
        <f>#REF!</f>
        <v>#REF!</v>
      </c>
    </row>
    <row r="46" spans="2:31" ht="15.75">
      <c r="B46" s="291"/>
      <c r="C46" s="297"/>
      <c r="D46" s="249" t="s">
        <v>243</v>
      </c>
      <c r="E46" s="297" t="s">
        <v>353</v>
      </c>
      <c r="F46" s="297"/>
      <c r="G46" s="442"/>
      <c r="H46" s="347" t="s">
        <v>176</v>
      </c>
      <c r="I46" s="347">
        <v>376620964</v>
      </c>
      <c r="J46" s="434">
        <v>48988644</v>
      </c>
      <c r="K46" s="518">
        <v>50702864</v>
      </c>
      <c r="L46" s="434" t="e">
        <f>#REF!</f>
        <v>#REF!</v>
      </c>
      <c r="M46" s="434">
        <v>9579872</v>
      </c>
      <c r="N46" s="434" t="e">
        <f>#REF!</f>
        <v>#REF!</v>
      </c>
      <c r="O46" s="434">
        <v>1399693</v>
      </c>
      <c r="P46" s="434" t="e">
        <f>#REF!</f>
        <v>#REF!</v>
      </c>
      <c r="Q46" s="434"/>
      <c r="R46" s="434"/>
      <c r="S46" s="434"/>
      <c r="T46" s="434"/>
      <c r="U46" s="434"/>
      <c r="V46" s="434"/>
      <c r="W46" s="434"/>
      <c r="X46" s="434"/>
      <c r="Y46" s="434"/>
      <c r="Z46" s="434"/>
      <c r="AA46" s="434"/>
      <c r="AB46" s="434" t="e">
        <f>#REF!</f>
        <v>#REF!</v>
      </c>
      <c r="AC46" s="434">
        <f t="shared" si="4"/>
        <v>438303393</v>
      </c>
      <c r="AD46" s="434" t="e">
        <f t="shared" si="4"/>
        <v>#REF!</v>
      </c>
      <c r="AE46" s="349" t="e">
        <f>#REF!</f>
        <v>#REF!</v>
      </c>
    </row>
    <row r="47" spans="2:31" ht="15.75">
      <c r="B47" s="291"/>
      <c r="C47" s="297"/>
      <c r="D47" s="249" t="s">
        <v>252</v>
      </c>
      <c r="E47" s="297" t="s">
        <v>354</v>
      </c>
      <c r="F47" s="297"/>
      <c r="G47" s="442"/>
      <c r="H47" s="347" t="s">
        <v>177</v>
      </c>
      <c r="I47" s="347">
        <v>155984132</v>
      </c>
      <c r="J47" s="434">
        <v>273297921</v>
      </c>
      <c r="K47" s="518">
        <v>85319462</v>
      </c>
      <c r="L47" s="434" t="e">
        <f>#REF!</f>
        <v>#REF!</v>
      </c>
      <c r="M47" s="434">
        <v>225024019</v>
      </c>
      <c r="N47" s="434" t="e">
        <f>#REF!</f>
        <v>#REF!</v>
      </c>
      <c r="O47" s="434">
        <v>174542837</v>
      </c>
      <c r="P47" s="434" t="e">
        <f>#REF!</f>
        <v>#REF!</v>
      </c>
      <c r="Q47" s="434"/>
      <c r="R47" s="434"/>
      <c r="S47" s="434"/>
      <c r="T47" s="434"/>
      <c r="U47" s="434"/>
      <c r="V47" s="434"/>
      <c r="W47" s="434"/>
      <c r="X47" s="434"/>
      <c r="Y47" s="434"/>
      <c r="Z47" s="434"/>
      <c r="AA47" s="434"/>
      <c r="AB47" s="434" t="e">
        <f>#REF!</f>
        <v>#REF!</v>
      </c>
      <c r="AC47" s="434">
        <f t="shared" si="4"/>
        <v>640870450</v>
      </c>
      <c r="AD47" s="434" t="e">
        <f t="shared" si="4"/>
        <v>#REF!</v>
      </c>
      <c r="AE47" s="349" t="e">
        <f>#REF!</f>
        <v>#REF!</v>
      </c>
    </row>
    <row r="48" spans="2:31" ht="15.75">
      <c r="B48" s="291"/>
      <c r="C48" s="296"/>
      <c r="D48" s="249" t="s">
        <v>274</v>
      </c>
      <c r="E48" s="297" t="s">
        <v>355</v>
      </c>
      <c r="F48" s="297"/>
      <c r="G48" s="442"/>
      <c r="H48" s="347" t="s">
        <v>178</v>
      </c>
      <c r="I48" s="347">
        <v>306582665</v>
      </c>
      <c r="J48" s="434">
        <v>0</v>
      </c>
      <c r="K48" s="518">
        <v>54526</v>
      </c>
      <c r="L48" s="434">
        <v>0</v>
      </c>
      <c r="M48" s="434">
        <v>20416166</v>
      </c>
      <c r="N48" s="434" t="e">
        <f>#REF!</f>
        <v>#REF!</v>
      </c>
      <c r="O48" s="434">
        <v>6480131</v>
      </c>
      <c r="P48" s="434" t="e">
        <f>#REF!</f>
        <v>#REF!</v>
      </c>
      <c r="Q48" s="434"/>
      <c r="R48" s="434"/>
      <c r="S48" s="434"/>
      <c r="T48" s="434"/>
      <c r="U48" s="434"/>
      <c r="V48" s="434"/>
      <c r="W48" s="434"/>
      <c r="X48" s="434"/>
      <c r="Y48" s="434"/>
      <c r="Z48" s="434"/>
      <c r="AA48" s="434"/>
      <c r="AB48" s="434">
        <v>0</v>
      </c>
      <c r="AC48" s="434">
        <f t="shared" si="4"/>
        <v>333533488</v>
      </c>
      <c r="AD48" s="460" t="e">
        <f t="shared" si="4"/>
        <v>#REF!</v>
      </c>
      <c r="AE48" s="349" t="e">
        <f>#REF!</f>
        <v>#REF!</v>
      </c>
    </row>
    <row r="49" spans="2:32" ht="15.75">
      <c r="B49" s="291"/>
      <c r="C49" s="296"/>
      <c r="D49" s="291"/>
      <c r="E49" s="291"/>
      <c r="F49" s="291"/>
      <c r="G49" s="311" t="s">
        <v>393</v>
      </c>
      <c r="H49" s="347"/>
      <c r="I49" s="174">
        <v>850479838</v>
      </c>
      <c r="J49" s="174">
        <v>341130420</v>
      </c>
      <c r="K49" s="174">
        <f aca="true" t="shared" si="5" ref="K49:P49">SUM(K43:K48)</f>
        <v>136076852</v>
      </c>
      <c r="L49" s="174" t="e">
        <f t="shared" si="5"/>
        <v>#REF!</v>
      </c>
      <c r="M49" s="174">
        <f t="shared" si="5"/>
        <v>366170600</v>
      </c>
      <c r="N49" s="174" t="e">
        <f t="shared" si="5"/>
        <v>#REF!</v>
      </c>
      <c r="O49" s="174">
        <f t="shared" si="5"/>
        <v>182422661</v>
      </c>
      <c r="P49" s="436" t="e">
        <f t="shared" si="5"/>
        <v>#REF!</v>
      </c>
      <c r="Q49" s="416"/>
      <c r="R49" s="416"/>
      <c r="S49" s="416"/>
      <c r="T49" s="416"/>
      <c r="U49" s="416"/>
      <c r="V49" s="416"/>
      <c r="W49" s="416"/>
      <c r="X49" s="416"/>
      <c r="Y49" s="416"/>
      <c r="Z49" s="416"/>
      <c r="AA49" s="416"/>
      <c r="AB49" s="437" t="e">
        <f>SUM(AB43:AB48)</f>
        <v>#REF!</v>
      </c>
      <c r="AC49" s="438">
        <f>I49+K49+M49+O49+Q49+S49+U49+Y49+AA49+W49+1</f>
        <v>1535149952</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1102227429</v>
      </c>
      <c r="J51" s="334">
        <v>5559158393.6</v>
      </c>
      <c r="K51" s="334">
        <f aca="true" t="shared" si="6" ref="K51:P51">+K41+K49</f>
        <v>3870961166.14</v>
      </c>
      <c r="L51" s="334" t="e">
        <f t="shared" si="6"/>
        <v>#REF!</v>
      </c>
      <c r="M51" s="334">
        <f t="shared" si="6"/>
        <v>1915025916</v>
      </c>
      <c r="N51" s="334" t="e">
        <f t="shared" si="6"/>
        <v>#REF!</v>
      </c>
      <c r="O51" s="334">
        <f t="shared" si="6"/>
        <v>923857492</v>
      </c>
      <c r="P51" s="401" t="e">
        <f t="shared" si="6"/>
        <v>#REF!</v>
      </c>
      <c r="Q51" s="416"/>
      <c r="R51" s="416"/>
      <c r="S51" s="416"/>
      <c r="T51" s="416"/>
      <c r="U51" s="416"/>
      <c r="V51" s="416"/>
      <c r="W51" s="416"/>
      <c r="X51" s="416"/>
      <c r="Y51" s="416"/>
      <c r="Z51" s="416"/>
      <c r="AA51" s="416"/>
      <c r="AB51" s="407" t="e">
        <f>+AB41+AB49</f>
        <v>#REF!</v>
      </c>
      <c r="AC51" s="245">
        <f>I51+K51+M51+O51+Q51+S51+U51+Y51+AA51+W51</f>
        <v>7812072003.139999</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v>
      </c>
      <c r="J53" s="350">
        <f aca="true" t="shared" si="7" ref="J53:P53">J51-J29</f>
        <v>0.1400003433227539</v>
      </c>
      <c r="K53" s="350">
        <f t="shared" si="7"/>
        <v>0.3599996566772461</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-1.640000343322754</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18.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387</v>
      </c>
      <c r="I6" s="514" t="s">
        <v>387</v>
      </c>
      <c r="J6" s="514" t="s">
        <v>387</v>
      </c>
      <c r="K6" s="514" t="s">
        <v>387</v>
      </c>
      <c r="L6" s="514" t="s">
        <v>387</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116508533</v>
      </c>
      <c r="I9" s="175">
        <v>67113422</v>
      </c>
      <c r="J9" s="175">
        <v>11462168</v>
      </c>
      <c r="K9" s="175">
        <v>39658658</v>
      </c>
      <c r="L9" s="175">
        <v>0</v>
      </c>
      <c r="M9" s="175"/>
      <c r="N9" s="175"/>
      <c r="O9" s="175"/>
      <c r="P9" s="175"/>
      <c r="Q9" s="175"/>
      <c r="R9" s="175"/>
      <c r="S9" s="175"/>
      <c r="T9" s="175"/>
      <c r="U9" s="175"/>
      <c r="V9" s="175"/>
      <c r="W9" s="175"/>
      <c r="X9" s="175"/>
      <c r="Y9" s="175"/>
      <c r="Z9" s="175"/>
      <c r="AA9" s="175"/>
      <c r="AB9" s="175">
        <f>+H9+J9+L9+N9+P9+R9+T9+V9+X9+Z9</f>
        <v>127970701</v>
      </c>
      <c r="AC9" s="175">
        <f>+I9+K9+M9+O9+Q9+S9+U9+W9+Y9+AA9</f>
        <v>106772080</v>
      </c>
      <c r="AD9" s="191" t="e">
        <f>#REF!</f>
        <v>#REF!</v>
      </c>
      <c r="AE9" s="192"/>
    </row>
    <row r="10" spans="2:31" ht="15.75">
      <c r="B10" s="260" t="s">
        <v>259</v>
      </c>
      <c r="C10" s="32" t="s">
        <v>357</v>
      </c>
      <c r="D10" s="260"/>
      <c r="E10" s="32"/>
      <c r="F10" s="368"/>
      <c r="G10" s="193" t="s">
        <v>180</v>
      </c>
      <c r="H10" s="193">
        <v>43746441</v>
      </c>
      <c r="I10" s="175">
        <v>46149630</v>
      </c>
      <c r="J10" s="175">
        <v>130356223</v>
      </c>
      <c r="K10" s="175">
        <v>20103582</v>
      </c>
      <c r="L10" s="175">
        <v>22078862</v>
      </c>
      <c r="M10" s="175"/>
      <c r="N10" s="175"/>
      <c r="O10" s="175"/>
      <c r="P10" s="175"/>
      <c r="Q10" s="175"/>
      <c r="R10" s="175"/>
      <c r="S10" s="175"/>
      <c r="T10" s="175"/>
      <c r="U10" s="175"/>
      <c r="V10" s="175"/>
      <c r="W10" s="175"/>
      <c r="X10" s="175"/>
      <c r="Y10" s="175"/>
      <c r="Z10" s="175"/>
      <c r="AA10" s="175"/>
      <c r="AB10" s="175">
        <f>+H10+J10+L10+N10+P10+R10+T10+V10+X10+Z10</f>
        <v>196181526</v>
      </c>
      <c r="AC10" s="175">
        <f>+I10+K10+M10+O10+Q10+S10+U10+W10+Y10+AA10</f>
        <v>66253212</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160254974</v>
      </c>
      <c r="I12" s="475">
        <v>113263052</v>
      </c>
      <c r="J12" s="475">
        <f>SUM(J9:J11)</f>
        <v>141818391</v>
      </c>
      <c r="K12" s="475">
        <f>SUM(K9:K11)</f>
        <v>59762240</v>
      </c>
      <c r="L12" s="476">
        <f>SUM(L9:L11)</f>
        <v>22078862</v>
      </c>
      <c r="M12" s="477"/>
      <c r="N12" s="477"/>
      <c r="O12" s="477"/>
      <c r="P12" s="477"/>
      <c r="Q12" s="477"/>
      <c r="R12" s="477"/>
      <c r="S12" s="477"/>
      <c r="T12" s="477"/>
      <c r="U12" s="477"/>
      <c r="V12" s="477"/>
      <c r="W12" s="477"/>
      <c r="X12" s="477"/>
      <c r="Y12" s="477"/>
      <c r="Z12" s="477"/>
      <c r="AA12" s="477"/>
      <c r="AB12" s="478">
        <f>+H12+J12+L12+N12+P12+R12+T12+V12+X12+Z12</f>
        <v>324152227</v>
      </c>
      <c r="AC12" s="479">
        <f>+I12+K12+M12+O12+Q12+S12+U12+W12+Y12+AA12</f>
        <v>173025292</v>
      </c>
      <c r="AD12" s="475" t="e">
        <f>SUM(AD9:AD11)</f>
        <v>#REF!</v>
      </c>
      <c r="AE12" s="192"/>
      <c r="AF12" s="192"/>
      <c r="AG12" s="192"/>
    </row>
    <row r="13" spans="2:29" ht="15.75">
      <c r="B13" s="260" t="s">
        <v>286</v>
      </c>
      <c r="C13" s="32" t="s">
        <v>359</v>
      </c>
      <c r="D13" s="32"/>
      <c r="E13" s="297"/>
      <c r="F13" s="202"/>
      <c r="G13" s="193"/>
      <c r="H13" s="193"/>
      <c r="I13" s="175"/>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72041769</v>
      </c>
      <c r="I14" s="175">
        <v>44408998</v>
      </c>
      <c r="J14" s="175"/>
      <c r="K14" s="175">
        <v>10673657</v>
      </c>
      <c r="L14" s="175"/>
      <c r="M14" s="175"/>
      <c r="N14" s="175"/>
      <c r="O14" s="175"/>
      <c r="P14" s="175"/>
      <c r="Q14" s="175"/>
      <c r="R14" s="175"/>
      <c r="S14" s="175"/>
      <c r="T14" s="175"/>
      <c r="U14" s="175"/>
      <c r="V14" s="175"/>
      <c r="W14" s="175"/>
      <c r="X14" s="175"/>
      <c r="Y14" s="175"/>
      <c r="Z14" s="175"/>
      <c r="AA14" s="175"/>
      <c r="AB14" s="175">
        <f>+H14+J14+L14+N14+P14+R14+T14+V14+X14+Z14</f>
        <v>72041769</v>
      </c>
      <c r="AC14" s="175">
        <f>I14+K14+M14+O14+Q14+S14+U14+Y14+AA14</f>
        <v>55082655</v>
      </c>
      <c r="AD14" s="191" t="e">
        <f>#REF!</f>
        <v>#REF!</v>
      </c>
      <c r="AF14" s="192"/>
    </row>
    <row r="15" spans="2:32" ht="15.75">
      <c r="B15" s="32"/>
      <c r="C15" s="249" t="s">
        <v>242</v>
      </c>
      <c r="D15" s="297" t="s">
        <v>361</v>
      </c>
      <c r="E15" s="297"/>
      <c r="F15" s="216"/>
      <c r="G15" s="193" t="s">
        <v>232</v>
      </c>
      <c r="H15" s="193"/>
      <c r="I15" s="175">
        <v>0</v>
      </c>
      <c r="J15" s="175">
        <v>0</v>
      </c>
      <c r="K15" s="175">
        <v>0</v>
      </c>
      <c r="L15" s="175">
        <v>0</v>
      </c>
      <c r="M15" s="175"/>
      <c r="N15" s="175"/>
      <c r="O15" s="175"/>
      <c r="P15" s="175"/>
      <c r="Q15" s="175"/>
      <c r="R15" s="175"/>
      <c r="S15" s="175"/>
      <c r="T15" s="175"/>
      <c r="U15" s="175"/>
      <c r="V15" s="175"/>
      <c r="W15" s="175"/>
      <c r="X15" s="175"/>
      <c r="Y15" s="175"/>
      <c r="Z15" s="175"/>
      <c r="AA15" s="175"/>
      <c r="AB15" s="175">
        <f>+H15+J15+L15+N15+P15+R15+T15+V15+X15+Z15</f>
        <v>0</v>
      </c>
      <c r="AC15" s="175">
        <f>I15+K15+M15+O15+Q15+S15+U15+Y15+AA15+W15</f>
        <v>0</v>
      </c>
      <c r="AD15" s="191">
        <v>7993970783.59</v>
      </c>
      <c r="AF15" s="192"/>
    </row>
    <row r="16" spans="2:32" ht="15.75" customHeight="1">
      <c r="B16" s="32"/>
      <c r="C16" s="249" t="s">
        <v>243</v>
      </c>
      <c r="D16" s="555" t="s">
        <v>374</v>
      </c>
      <c r="E16" s="555"/>
      <c r="F16" s="555"/>
      <c r="G16" s="550" t="s">
        <v>233</v>
      </c>
      <c r="H16" s="550"/>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75">
        <f>'[1]NOTE V'!F28</f>
        <v>8858638</v>
      </c>
      <c r="I18" s="175">
        <v>23967512</v>
      </c>
      <c r="J18" s="175">
        <v>23965407</v>
      </c>
      <c r="K18" s="175">
        <v>16082322</v>
      </c>
      <c r="L18" s="175">
        <v>25974308</v>
      </c>
      <c r="M18" s="175"/>
      <c r="N18" s="175"/>
      <c r="O18" s="175"/>
      <c r="P18" s="175"/>
      <c r="Q18" s="175"/>
      <c r="R18" s="175"/>
      <c r="S18" s="175"/>
      <c r="T18" s="175"/>
      <c r="U18" s="175"/>
      <c r="V18" s="175"/>
      <c r="W18" s="175"/>
      <c r="X18" s="175"/>
      <c r="Y18" s="175"/>
      <c r="Z18" s="175"/>
      <c r="AA18" s="175"/>
      <c r="AB18" s="175">
        <f>+H18+J18+L18+N18+P18+R18+T18+V18+X18+Z18</f>
        <v>58798353</v>
      </c>
      <c r="AC18" s="175">
        <f>+I18+K18+M18+O18+Q18+S18+U18+W18+Y18+AA18</f>
        <v>40049834</v>
      </c>
      <c r="AD18" s="175" t="e">
        <f>#REF!</f>
        <v>#REF!</v>
      </c>
      <c r="AE18" s="192"/>
      <c r="AF18" s="192"/>
    </row>
    <row r="19" spans="2:32" ht="15.75" customHeight="1">
      <c r="B19" s="32"/>
      <c r="C19" s="249" t="s">
        <v>274</v>
      </c>
      <c r="D19" s="297" t="s">
        <v>363</v>
      </c>
      <c r="E19" s="297"/>
      <c r="F19" s="216"/>
      <c r="G19" s="193"/>
      <c r="H19" s="175"/>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75">
        <v>928066</v>
      </c>
      <c r="I20" s="175">
        <v>883184.5399999999</v>
      </c>
      <c r="J20" s="175">
        <v>577766</v>
      </c>
      <c r="K20" s="175">
        <v>463794</v>
      </c>
      <c r="L20" s="175">
        <v>238293</v>
      </c>
      <c r="M20" s="175"/>
      <c r="N20" s="175"/>
      <c r="O20" s="175"/>
      <c r="P20" s="175"/>
      <c r="Q20" s="175"/>
      <c r="R20" s="175"/>
      <c r="S20" s="175"/>
      <c r="T20" s="175"/>
      <c r="U20" s="175"/>
      <c r="V20" s="175"/>
      <c r="W20" s="175"/>
      <c r="X20" s="175"/>
      <c r="Y20" s="175"/>
      <c r="Z20" s="175"/>
      <c r="AA20" s="175"/>
      <c r="AB20" s="175">
        <f>+H20+J20+L20+N20+P20+R20+T20+V20+X20+Z20</f>
        <v>1744125</v>
      </c>
      <c r="AC20" s="175">
        <f>+I20+K20+M20+O20+Q20+S20+U20+W20+Y20+AA20</f>
        <v>1346978.54</v>
      </c>
      <c r="AD20" s="191">
        <v>15784125.999999998</v>
      </c>
      <c r="AF20" s="192"/>
    </row>
    <row r="21" spans="2:32" ht="15.75">
      <c r="B21" s="176"/>
      <c r="C21" s="249" t="s">
        <v>287</v>
      </c>
      <c r="D21" s="297" t="s">
        <v>365</v>
      </c>
      <c r="F21" s="216"/>
      <c r="G21" s="193" t="s">
        <v>235</v>
      </c>
      <c r="H21" s="175">
        <f>'[1]NOTE W'!F45</f>
        <v>12115218</v>
      </c>
      <c r="I21" s="175">
        <v>9052266</v>
      </c>
      <c r="J21" s="175">
        <v>30596847</v>
      </c>
      <c r="K21" s="175">
        <v>5125134</v>
      </c>
      <c r="L21" s="175">
        <v>39384998</v>
      </c>
      <c r="M21" s="175"/>
      <c r="N21" s="175"/>
      <c r="O21" s="175"/>
      <c r="P21" s="175"/>
      <c r="Q21" s="175"/>
      <c r="R21" s="175"/>
      <c r="S21" s="175"/>
      <c r="T21" s="175"/>
      <c r="U21" s="175"/>
      <c r="V21" s="175"/>
      <c r="W21" s="175"/>
      <c r="X21" s="175"/>
      <c r="Y21" s="175"/>
      <c r="Z21" s="175"/>
      <c r="AA21" s="175"/>
      <c r="AB21" s="175">
        <f>+H21+J21+L21+N21+P21+R21+T21+V21+X21+Z21</f>
        <v>82097063</v>
      </c>
      <c r="AC21" s="175">
        <f>+I21+K21+M21+O21+Q21+S21+U21+W21+Y21+AA21</f>
        <v>14177400</v>
      </c>
      <c r="AD21" s="175" t="e">
        <f>#REF!</f>
        <v>#REF!</v>
      </c>
      <c r="AF21" s="192"/>
    </row>
    <row r="22" spans="2:29" ht="15.75" customHeight="1">
      <c r="B22" s="176"/>
      <c r="C22" s="249"/>
      <c r="D22" s="297"/>
      <c r="F22" s="216"/>
      <c r="G22" s="193"/>
      <c r="H22" s="175"/>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f>SUM(H14:H22)</f>
        <v>93943691</v>
      </c>
      <c r="I23" s="481">
        <v>78311960.54</v>
      </c>
      <c r="J23" s="481">
        <f>SUM(J14:J22)</f>
        <v>55140020</v>
      </c>
      <c r="K23" s="481">
        <f>SUM(K14:K22)</f>
        <v>32344907</v>
      </c>
      <c r="L23" s="482">
        <f>SUM(L15:L22)</f>
        <v>65597599</v>
      </c>
      <c r="M23" s="483"/>
      <c r="N23" s="483"/>
      <c r="O23" s="483"/>
      <c r="P23" s="483"/>
      <c r="Q23" s="483"/>
      <c r="R23" s="483"/>
      <c r="S23" s="483"/>
      <c r="T23" s="483"/>
      <c r="U23" s="483"/>
      <c r="V23" s="483"/>
      <c r="W23" s="483"/>
      <c r="X23" s="483"/>
      <c r="Y23" s="483"/>
      <c r="Z23" s="483"/>
      <c r="AA23" s="483"/>
      <c r="AB23" s="478">
        <f>+H23+J23+L23+N23+P23+R23+T23+V23+X23+Z23+1</f>
        <v>214681311</v>
      </c>
      <c r="AC23" s="479">
        <f>+I23+K23+M23+O23+Q23+S23+U23+W23+Y23+AA23</f>
        <v>110656867.54</v>
      </c>
      <c r="AD23" s="481" t="e">
        <f>SUM(AD14:AD22)</f>
        <v>#REF!</v>
      </c>
      <c r="AE23" s="192"/>
      <c r="AF23" s="192"/>
    </row>
    <row r="24" spans="2:29" ht="15">
      <c r="B24" s="176"/>
      <c r="F24" s="480"/>
      <c r="G24" s="193"/>
      <c r="H24" s="484"/>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f>+H12-H23</f>
        <v>66311283</v>
      </c>
      <c r="I25" s="178">
        <v>34951091.45999999</v>
      </c>
      <c r="J25" s="178">
        <f>+J12-J23</f>
        <v>86678371</v>
      </c>
      <c r="K25" s="178">
        <f>+K12-K23</f>
        <v>27417333</v>
      </c>
      <c r="L25" s="178">
        <f>+L12-L23</f>
        <v>-43518737</v>
      </c>
      <c r="M25" s="178"/>
      <c r="N25" s="178"/>
      <c r="O25" s="178"/>
      <c r="P25" s="178"/>
      <c r="Q25" s="178"/>
      <c r="R25" s="178"/>
      <c r="S25" s="178"/>
      <c r="T25" s="178"/>
      <c r="U25" s="178"/>
      <c r="V25" s="178"/>
      <c r="W25" s="178"/>
      <c r="X25" s="178"/>
      <c r="Y25" s="178"/>
      <c r="Z25" s="178"/>
      <c r="AA25" s="178"/>
      <c r="AB25" s="175">
        <f>+H25+J25+L25+N25+P25+R25+T25+V25+X25+Z25</f>
        <v>109470917</v>
      </c>
      <c r="AC25" s="175">
        <f>+I25+K25+M25+O25+Q25+S25+U25+W25+Y25+AA25</f>
        <v>62368424.45999999</v>
      </c>
      <c r="AD25" s="178" t="e">
        <f>+AD12-AD23</f>
        <v>#REF!</v>
      </c>
      <c r="AF25" s="192"/>
      <c r="AG25" s="192"/>
    </row>
    <row r="26" spans="2:29" ht="15.75">
      <c r="B26" s="176"/>
      <c r="C26" s="32" t="s">
        <v>375</v>
      </c>
      <c r="F26" s="216"/>
      <c r="G26" s="193"/>
      <c r="H26" s="178"/>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80"/>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f>+H25-H27</f>
        <v>66311283</v>
      </c>
      <c r="I28" s="180">
        <v>34951091.45999999</v>
      </c>
      <c r="J28" s="180">
        <f>+J25-J27</f>
        <v>86678371</v>
      </c>
      <c r="K28" s="180">
        <f>+K25-K27</f>
        <v>27417333</v>
      </c>
      <c r="L28" s="180">
        <f>+L25-L27</f>
        <v>-43518737</v>
      </c>
      <c r="M28" s="180"/>
      <c r="N28" s="180"/>
      <c r="O28" s="180"/>
      <c r="P28" s="180"/>
      <c r="Q28" s="180"/>
      <c r="R28" s="180"/>
      <c r="S28" s="180"/>
      <c r="T28" s="180"/>
      <c r="U28" s="180"/>
      <c r="V28" s="180"/>
      <c r="W28" s="180"/>
      <c r="X28" s="180"/>
      <c r="Y28" s="180"/>
      <c r="Z28" s="180"/>
      <c r="AA28" s="180"/>
      <c r="AB28" s="175">
        <f>+H28+J28+L28+N28+P28+R28+T28+V28+X28+Z28</f>
        <v>109470917</v>
      </c>
      <c r="AC28" s="175">
        <f>+I28+K28+M28+O28+Q28+S28+U28+W28+Y28+AA28</f>
        <v>62368424.45999999</v>
      </c>
      <c r="AD28" s="180" t="e">
        <f>+AD25-AD27</f>
        <v>#REF!</v>
      </c>
    </row>
    <row r="29" spans="2:30" ht="15.75">
      <c r="B29" s="260" t="s">
        <v>291</v>
      </c>
      <c r="C29" s="32" t="s">
        <v>368</v>
      </c>
      <c r="D29" s="297"/>
      <c r="E29" s="338"/>
      <c r="F29" s="216"/>
      <c r="G29" s="193"/>
      <c r="H29" s="180"/>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f>+H28-H29</f>
        <v>66311283</v>
      </c>
      <c r="I30" s="487">
        <v>34951091.45999999</v>
      </c>
      <c r="J30" s="487">
        <f>+J28-J29</f>
        <v>86678371</v>
      </c>
      <c r="K30" s="487">
        <f>+K28-K29</f>
        <v>27417333</v>
      </c>
      <c r="L30" s="487">
        <f>+L28-L29</f>
        <v>-43518737</v>
      </c>
      <c r="M30" s="487"/>
      <c r="N30" s="487"/>
      <c r="O30" s="487"/>
      <c r="P30" s="487"/>
      <c r="Q30" s="487"/>
      <c r="R30" s="487"/>
      <c r="S30" s="487"/>
      <c r="T30" s="487"/>
      <c r="U30" s="487"/>
      <c r="V30" s="487"/>
      <c r="W30" s="487"/>
      <c r="X30" s="487"/>
      <c r="Y30" s="487"/>
      <c r="Z30" s="487"/>
      <c r="AA30" s="487"/>
      <c r="AB30" s="175">
        <f>+H30+J30+L30+N30+P30+R30+T30+V30+X30+Z30</f>
        <v>109470917</v>
      </c>
      <c r="AC30" s="175">
        <f>+I30+K30+M30+O30+Q30+S30+U30+W30+Y30+AA30</f>
        <v>62368424.45999999</v>
      </c>
      <c r="AD30" s="487" t="e">
        <f>+AD28-AD29</f>
        <v>#REF!</v>
      </c>
    </row>
    <row r="31" spans="2:29" ht="15.75">
      <c r="B31" s="260" t="s">
        <v>194</v>
      </c>
      <c r="C31" s="32" t="s">
        <v>369</v>
      </c>
      <c r="D31" s="260"/>
      <c r="E31" s="32"/>
      <c r="F31" s="216"/>
      <c r="G31" s="193"/>
      <c r="H31" s="180"/>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80"/>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80"/>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80"/>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f>SUM(H32:H34)</f>
        <v>0</v>
      </c>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80"/>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f>+H30-H35</f>
        <v>66311283</v>
      </c>
      <c r="I37" s="487">
        <v>34951091.45999999</v>
      </c>
      <c r="J37" s="487">
        <f>+J30-J35</f>
        <v>86678371</v>
      </c>
      <c r="K37" s="487">
        <f>+K30-K35</f>
        <v>27417333</v>
      </c>
      <c r="L37" s="487">
        <f>+L30-L35</f>
        <v>-43518737</v>
      </c>
      <c r="M37" s="487"/>
      <c r="N37" s="487"/>
      <c r="O37" s="487"/>
      <c r="P37" s="487"/>
      <c r="Q37" s="487"/>
      <c r="R37" s="487"/>
      <c r="S37" s="487"/>
      <c r="T37" s="487"/>
      <c r="U37" s="487"/>
      <c r="V37" s="487"/>
      <c r="W37" s="487"/>
      <c r="X37" s="487"/>
      <c r="Y37" s="487"/>
      <c r="Z37" s="487"/>
      <c r="AA37" s="487"/>
      <c r="AB37" s="175">
        <f>+H37+J37+L37+N37+P37+R37+T37+V37+X37+Z37</f>
        <v>109470917</v>
      </c>
      <c r="AC37" s="175">
        <f>+I37+K37+M37+O37+Q37+S37+U37+W37+Y37+AA37</f>
        <v>62368424.45999999</v>
      </c>
      <c r="AD37" s="487" t="e">
        <f>+AD30-AD35</f>
        <v>#REF!</v>
      </c>
      <c r="AE37" s="192"/>
    </row>
    <row r="38" spans="2:30" ht="15.75">
      <c r="B38" s="260" t="s">
        <v>196</v>
      </c>
      <c r="C38" s="32" t="s">
        <v>380</v>
      </c>
      <c r="D38" s="249"/>
      <c r="E38" s="297"/>
      <c r="F38" s="216"/>
      <c r="G38" s="193"/>
      <c r="H38" s="180"/>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80"/>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80"/>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f>+H37+H40</f>
        <v>66311283</v>
      </c>
      <c r="I41" s="200">
        <v>34951091.45999999</v>
      </c>
      <c r="J41" s="200">
        <f>+J37+J40</f>
        <v>86678371</v>
      </c>
      <c r="K41" s="200">
        <f>+K37+K40</f>
        <v>27417333</v>
      </c>
      <c r="L41" s="384">
        <f>+L37+L40</f>
        <v>-43518737</v>
      </c>
      <c r="M41" s="399"/>
      <c r="N41" s="399"/>
      <c r="O41" s="399"/>
      <c r="P41" s="399"/>
      <c r="Q41" s="399"/>
      <c r="R41" s="399"/>
      <c r="S41" s="399"/>
      <c r="T41" s="399"/>
      <c r="U41" s="399"/>
      <c r="V41" s="399"/>
      <c r="W41" s="399"/>
      <c r="X41" s="399"/>
      <c r="Y41" s="399"/>
      <c r="Z41" s="399"/>
      <c r="AA41" s="399"/>
      <c r="AB41" s="491">
        <f>+H41+J41+L41+N41+P41+R41+T41+V41+X41+Z41</f>
        <v>109470917</v>
      </c>
      <c r="AC41" s="492">
        <f>+I41+K41+M41+O41+Q41+S41+U41+W41+Y41+AA41</f>
        <v>62368424.45999999</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B8:F8"/>
    <mergeCell ref="B47:F48"/>
    <mergeCell ref="G47:G48"/>
    <mergeCell ref="D16:F17"/>
    <mergeCell ref="G16:G17"/>
    <mergeCell ref="V16:V17"/>
    <mergeCell ref="X16:X17"/>
    <mergeCell ref="Z16:Z17"/>
    <mergeCell ref="N16:N17"/>
    <mergeCell ref="P16:P17"/>
    <mergeCell ref="R16:R17"/>
    <mergeCell ref="T16:T17"/>
    <mergeCell ref="W16:W17"/>
    <mergeCell ref="U16:U17"/>
    <mergeCell ref="S16:S17"/>
    <mergeCell ref="AD16:AD17"/>
    <mergeCell ref="AC16:AC17"/>
    <mergeCell ref="AA16:AA17"/>
    <mergeCell ref="Y16:Y17"/>
    <mergeCell ref="Q16:Q17"/>
    <mergeCell ref="O16:O17"/>
    <mergeCell ref="M16:M17"/>
    <mergeCell ref="L16:L17"/>
    <mergeCell ref="K16:K17"/>
    <mergeCell ref="J16:J17"/>
    <mergeCell ref="I16:I17"/>
    <mergeCell ref="H16:H17"/>
  </mergeCells>
  <printOptions horizontalCentered="1"/>
  <pageMargins left="0.3" right="0.55" top="0.66" bottom="0.5" header="0" footer="0"/>
  <pageSetup fitToHeight="1" fitToWidth="1" horizontalDpi="600" verticalDpi="600" orientation="landscape" paperSize="5" scale="71" r:id="rId1"/>
</worksheet>
</file>

<file path=xl/worksheets/sheet19.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J1" sqref="J1"/>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0" width="14.57421875" style="184" customWidth="1"/>
    <col min="11"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14" t="s">
        <v>408</v>
      </c>
      <c r="J5" s="514" t="s">
        <v>408</v>
      </c>
      <c r="K5" s="514" t="s">
        <v>408</v>
      </c>
      <c r="L5" s="501" t="s">
        <v>408</v>
      </c>
      <c r="M5" s="514" t="s">
        <v>408</v>
      </c>
      <c r="N5" s="501" t="s">
        <v>408</v>
      </c>
      <c r="O5" s="514" t="s">
        <v>408</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426"/>
      <c r="J6" s="501"/>
      <c r="K6" s="501"/>
      <c r="L6" s="501"/>
      <c r="M6" s="501"/>
      <c r="N6" s="501"/>
      <c r="O6" s="501"/>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v>62825100</v>
      </c>
      <c r="J9" s="434">
        <v>62825100</v>
      </c>
      <c r="K9" s="434">
        <v>62825100</v>
      </c>
      <c r="L9" s="434">
        <v>0</v>
      </c>
      <c r="M9" s="434">
        <v>62825100</v>
      </c>
      <c r="N9" s="434">
        <v>0</v>
      </c>
      <c r="O9" s="434">
        <v>62825100</v>
      </c>
      <c r="P9" s="434">
        <v>0</v>
      </c>
      <c r="Q9" s="434"/>
      <c r="R9" s="434"/>
      <c r="S9" s="434"/>
      <c r="T9" s="434"/>
      <c r="U9" s="434"/>
      <c r="V9" s="434"/>
      <c r="W9" s="434"/>
      <c r="X9" s="434"/>
      <c r="Y9" s="434"/>
      <c r="Z9" s="434"/>
      <c r="AA9" s="434"/>
      <c r="AB9" s="434">
        <v>0</v>
      </c>
      <c r="AC9" s="434">
        <f>I9+K9+M9+O9+Q9+S9+U9+Y9+AA9+W9</f>
        <v>251300400</v>
      </c>
      <c r="AD9" s="434">
        <f>J9+L9+N9+P9+R9+T9+V9+Z9+AB9+X9</f>
        <v>62825100</v>
      </c>
      <c r="AE9" s="349">
        <v>62825100</v>
      </c>
    </row>
    <row r="10" spans="2:32" ht="15.75">
      <c r="B10" s="291"/>
      <c r="C10" s="296"/>
      <c r="D10" s="291" t="s">
        <v>242</v>
      </c>
      <c r="E10" s="297" t="s">
        <v>333</v>
      </c>
      <c r="F10" s="297"/>
      <c r="G10" s="297"/>
      <c r="H10" s="298" t="s">
        <v>147</v>
      </c>
      <c r="I10" s="298">
        <v>35225800.47000003</v>
      </c>
      <c r="J10" s="434">
        <v>-104746080.41</v>
      </c>
      <c r="K10" s="434">
        <v>-198112851.54</v>
      </c>
      <c r="L10" s="434" t="e">
        <f>#REF!</f>
        <v>#REF!</v>
      </c>
      <c r="M10" s="434">
        <v>-249925032</v>
      </c>
      <c r="N10" s="434" t="e">
        <f>#REF!</f>
        <v>#REF!</v>
      </c>
      <c r="O10" s="434">
        <v>-226340239.35</v>
      </c>
      <c r="P10" s="434" t="e">
        <f>#REF!</f>
        <v>#REF!</v>
      </c>
      <c r="Q10" s="434"/>
      <c r="R10" s="434"/>
      <c r="S10" s="434"/>
      <c r="T10" s="434"/>
      <c r="U10" s="434"/>
      <c r="V10" s="434"/>
      <c r="W10" s="434"/>
      <c r="X10" s="434"/>
      <c r="Y10" s="434"/>
      <c r="Z10" s="434"/>
      <c r="AA10" s="434"/>
      <c r="AB10" s="434" t="e">
        <f>#REF!</f>
        <v>#REF!</v>
      </c>
      <c r="AC10" s="434">
        <f>I10+K10+M10+O10+Q10+S10+U10+Y10+AA10+W10+1</f>
        <v>-639152321.42</v>
      </c>
      <c r="AD10" s="434" t="e">
        <f>J10+L10+N10+P10+R10+T10+V10+Z10+AB10+X10</f>
        <v>#REF!</v>
      </c>
      <c r="AE10" s="349" t="e">
        <f>#REF!</f>
        <v>#REF!</v>
      </c>
      <c r="AF10" s="185"/>
    </row>
    <row r="11" spans="2:32" ht="15.75">
      <c r="B11" s="291"/>
      <c r="C11" s="435"/>
      <c r="D11" s="296"/>
      <c r="E11" s="291"/>
      <c r="F11" s="291"/>
      <c r="G11" s="311" t="s">
        <v>389</v>
      </c>
      <c r="H11" s="347"/>
      <c r="I11" s="174">
        <v>98050900.47000003</v>
      </c>
      <c r="J11" s="174">
        <v>-41920980.41</v>
      </c>
      <c r="K11" s="174">
        <f>SUM(K9:K10)</f>
        <v>-135287751.54</v>
      </c>
      <c r="L11" s="174" t="e">
        <f>SUM(L9:L10)</f>
        <v>#REF!</v>
      </c>
      <c r="M11" s="174">
        <f>+M9+M10</f>
        <v>-187099932</v>
      </c>
      <c r="N11" s="174" t="e">
        <f>+N9+N10</f>
        <v>#REF!</v>
      </c>
      <c r="O11" s="174">
        <f>SUM(O9:O10)</f>
        <v>-163515139.35</v>
      </c>
      <c r="P11" s="436" t="e">
        <f>SUM(P9:P10)</f>
        <v>#REF!</v>
      </c>
      <c r="Q11" s="416"/>
      <c r="R11" s="416"/>
      <c r="S11" s="416"/>
      <c r="T11" s="416"/>
      <c r="U11" s="416"/>
      <c r="V11" s="416"/>
      <c r="W11" s="416"/>
      <c r="X11" s="416"/>
      <c r="Y11" s="416"/>
      <c r="Z11" s="416"/>
      <c r="AA11" s="416"/>
      <c r="AB11" s="437" t="e">
        <f>+AB9+AB10</f>
        <v>#REF!</v>
      </c>
      <c r="AC11" s="438">
        <f>I11+K11+M11+O11+Q11+S11+U11+Y11+AA11+W11+1</f>
        <v>-387851921.41999996</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v>46398114</v>
      </c>
      <c r="J16" s="434">
        <v>44757807</v>
      </c>
      <c r="K16" s="434">
        <v>42845807</v>
      </c>
      <c r="L16" s="434">
        <v>0</v>
      </c>
      <c r="M16" s="434">
        <v>42163807</v>
      </c>
      <c r="N16" s="434"/>
      <c r="O16" s="434">
        <v>10506981</v>
      </c>
      <c r="P16" s="434">
        <f>'NOTE 1'!Y27</f>
        <v>0</v>
      </c>
      <c r="Q16" s="434"/>
      <c r="R16" s="434"/>
      <c r="S16" s="434"/>
      <c r="T16" s="434"/>
      <c r="U16" s="434"/>
      <c r="V16" s="434"/>
      <c r="W16" s="434"/>
      <c r="X16" s="434"/>
      <c r="Y16" s="434"/>
      <c r="Z16" s="443"/>
      <c r="AA16" s="443"/>
      <c r="AB16" s="434"/>
      <c r="AC16" s="434">
        <f aca="true" t="shared" si="0" ref="AC16:AD19">I16+K16+M16+O16+Q16+S16+U16+Y16+AA16+W16</f>
        <v>141914709</v>
      </c>
      <c r="AD16" s="434">
        <f t="shared" si="0"/>
        <v>44757807</v>
      </c>
      <c r="AE16" s="349">
        <v>42845807</v>
      </c>
    </row>
    <row r="17" spans="2:31" ht="15.75">
      <c r="B17" s="291"/>
      <c r="C17" s="297"/>
      <c r="D17" s="249" t="s">
        <v>242</v>
      </c>
      <c r="E17" s="297" t="s">
        <v>336</v>
      </c>
      <c r="F17" s="297"/>
      <c r="G17" s="442"/>
      <c r="H17" s="347" t="s">
        <v>165</v>
      </c>
      <c r="I17" s="347">
        <v>943956781</v>
      </c>
      <c r="J17" s="434">
        <v>9775207685</v>
      </c>
      <c r="K17" s="434">
        <v>5006905685</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5950862466</v>
      </c>
      <c r="AD17" s="434" t="e">
        <f t="shared" si="0"/>
        <v>#REF!</v>
      </c>
      <c r="AE17" s="349" t="e">
        <f>#REF!</f>
        <v>#REF!</v>
      </c>
    </row>
    <row r="18" spans="2:31" ht="15.75">
      <c r="B18" s="291"/>
      <c r="C18" s="297"/>
      <c r="D18" s="249" t="s">
        <v>243</v>
      </c>
      <c r="E18" s="297" t="s">
        <v>314</v>
      </c>
      <c r="F18" s="297"/>
      <c r="G18" s="442"/>
      <c r="H18" s="347" t="s">
        <v>166</v>
      </c>
      <c r="I18" s="347">
        <v>191863534</v>
      </c>
      <c r="J18" s="434">
        <v>308559374</v>
      </c>
      <c r="K18" s="434">
        <v>267107277</v>
      </c>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458970811</v>
      </c>
      <c r="AD18" s="434" t="e">
        <f t="shared" si="0"/>
        <v>#REF!</v>
      </c>
      <c r="AE18" s="349" t="e">
        <f>#REF!</f>
        <v>#REF!</v>
      </c>
    </row>
    <row r="19" spans="2:32" ht="15.75">
      <c r="B19" s="291"/>
      <c r="C19" s="296"/>
      <c r="D19" s="291"/>
      <c r="E19" s="291"/>
      <c r="F19" s="291"/>
      <c r="G19" s="311" t="s">
        <v>390</v>
      </c>
      <c r="H19" s="347"/>
      <c r="I19" s="174">
        <v>1182218429</v>
      </c>
      <c r="J19" s="174">
        <v>10128524866</v>
      </c>
      <c r="K19" s="174">
        <f>SUM(K15:K18)</f>
        <v>5316858769</v>
      </c>
      <c r="L19" s="174" t="e">
        <f>SUM(L15:L18)</f>
        <v>#REF!</v>
      </c>
      <c r="M19" s="174">
        <f>SUM(M15:M18)</f>
        <v>42163807</v>
      </c>
      <c r="N19" s="174" t="e">
        <f>SUM(N15:N18)</f>
        <v>#REF!</v>
      </c>
      <c r="O19" s="174">
        <f>SUM(O15:O18)</f>
        <v>10506981</v>
      </c>
      <c r="P19" s="436" t="e">
        <f>SUM(P17:P18)</f>
        <v>#REF!</v>
      </c>
      <c r="Q19" s="416"/>
      <c r="R19" s="416"/>
      <c r="S19" s="416"/>
      <c r="T19" s="416"/>
      <c r="U19" s="416"/>
      <c r="V19" s="416"/>
      <c r="W19" s="416"/>
      <c r="X19" s="416"/>
      <c r="Y19" s="416"/>
      <c r="Z19" s="416"/>
      <c r="AA19" s="416"/>
      <c r="AB19" s="308" t="e">
        <f>SUM(AB15:AB18)</f>
        <v>#REF!</v>
      </c>
      <c r="AC19" s="444">
        <f t="shared" si="0"/>
        <v>6551747986</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11703499.85</v>
      </c>
      <c r="J22" s="434">
        <v>1202813</v>
      </c>
      <c r="K22" s="434">
        <v>3877556</v>
      </c>
      <c r="L22" s="434" t="e">
        <f>#REF!</f>
        <v>#REF!</v>
      </c>
      <c r="M22" s="434">
        <v>15156206</v>
      </c>
      <c r="N22" s="434" t="e">
        <f>#REF!</f>
        <v>#REF!</v>
      </c>
      <c r="O22" s="434">
        <f>67657026</f>
        <v>67657026</v>
      </c>
      <c r="P22" s="434" t="e">
        <f>#REF!</f>
        <v>#REF!</v>
      </c>
      <c r="Q22" s="434"/>
      <c r="R22" s="434"/>
      <c r="S22" s="434"/>
      <c r="T22" s="434"/>
      <c r="U22" s="434"/>
      <c r="V22" s="434"/>
      <c r="W22" s="434"/>
      <c r="X22" s="434"/>
      <c r="Y22" s="434"/>
      <c r="Z22" s="434"/>
      <c r="AA22" s="434"/>
      <c r="AB22" s="434" t="e">
        <f>#REF!</f>
        <v>#REF!</v>
      </c>
      <c r="AC22" s="434">
        <f aca="true" t="shared" si="1" ref="AC22:AD24">I22+K22+M22+O22+Q22+S22+U22+Y22+AA22+W22</f>
        <v>98394287.85</v>
      </c>
      <c r="AD22" s="434" t="e">
        <f t="shared" si="1"/>
        <v>#REF!</v>
      </c>
      <c r="AE22" s="349" t="e">
        <f>#REF!</f>
        <v>#REF!</v>
      </c>
    </row>
    <row r="23" spans="2:32" ht="15.75">
      <c r="B23" s="291"/>
      <c r="C23" s="297"/>
      <c r="D23" s="249" t="s">
        <v>243</v>
      </c>
      <c r="E23" s="297" t="s">
        <v>338</v>
      </c>
      <c r="F23" s="297"/>
      <c r="G23" s="442"/>
      <c r="H23" s="347" t="s">
        <v>168</v>
      </c>
      <c r="I23" s="347">
        <v>9927956411</v>
      </c>
      <c r="J23" s="434">
        <v>19822383</v>
      </c>
      <c r="K23" s="434">
        <v>168625071</v>
      </c>
      <c r="L23" s="434" t="e">
        <f>#REF!</f>
        <v>#REF!</v>
      </c>
      <c r="M23" s="434">
        <f>3403167803-M22</f>
        <v>3388011597</v>
      </c>
      <c r="N23" s="434" t="e">
        <f>#REF!</f>
        <v>#REF!</v>
      </c>
      <c r="O23" s="185">
        <f>2880934307-O22</f>
        <v>2813277281</v>
      </c>
      <c r="P23" s="434" t="e">
        <f>#REF!</f>
        <v>#REF!</v>
      </c>
      <c r="Q23" s="434"/>
      <c r="R23" s="434"/>
      <c r="S23" s="434"/>
      <c r="T23" s="434"/>
      <c r="U23" s="434"/>
      <c r="V23" s="434"/>
      <c r="W23" s="434"/>
      <c r="X23" s="434"/>
      <c r="Y23" s="434"/>
      <c r="Z23" s="434"/>
      <c r="AA23" s="434"/>
      <c r="AB23" s="434" t="e">
        <f>#REF!</f>
        <v>#REF!</v>
      </c>
      <c r="AC23" s="434">
        <f>I23+K23+M23+O24+Q23+S23+U23+Y23+AA23+W23</f>
        <v>13777353710</v>
      </c>
      <c r="AD23" s="434" t="e">
        <f t="shared" si="1"/>
        <v>#REF!</v>
      </c>
      <c r="AE23" s="349" t="e">
        <f>#REF!</f>
        <v>#REF!</v>
      </c>
      <c r="AF23" s="185"/>
    </row>
    <row r="24" spans="2:31" ht="15.75">
      <c r="B24" s="291"/>
      <c r="C24" s="297"/>
      <c r="D24" s="249" t="s">
        <v>252</v>
      </c>
      <c r="E24" s="297" t="s">
        <v>339</v>
      </c>
      <c r="F24" s="297"/>
      <c r="G24" s="442"/>
      <c r="H24" s="347" t="s">
        <v>169</v>
      </c>
      <c r="I24" s="347">
        <v>7109146</v>
      </c>
      <c r="J24" s="434">
        <v>40070830</v>
      </c>
      <c r="K24" s="434"/>
      <c r="L24" s="434" t="e">
        <f>#REF!</f>
        <v>#REF!</v>
      </c>
      <c r="M24" s="434">
        <v>269320621</v>
      </c>
      <c r="N24" s="434" t="e">
        <f>#REF!</f>
        <v>#REF!</v>
      </c>
      <c r="O24" s="434">
        <v>292760631</v>
      </c>
      <c r="P24" s="434" t="e">
        <f>#REF!</f>
        <v>#REF!</v>
      </c>
      <c r="Q24" s="434"/>
      <c r="R24" s="434"/>
      <c r="S24" s="434"/>
      <c r="T24" s="434"/>
      <c r="U24" s="434"/>
      <c r="V24" s="434"/>
      <c r="W24" s="434"/>
      <c r="X24" s="434"/>
      <c r="Y24" s="434"/>
      <c r="Z24" s="434"/>
      <c r="AA24" s="434"/>
      <c r="AB24" s="434" t="e">
        <f>#REF!</f>
        <v>#REF!</v>
      </c>
      <c r="AC24" s="434" t="e">
        <f>I24+K24+M24+#REF!+Q24+S24+U24+Y24+AA24+W24</f>
        <v>#REF!</v>
      </c>
      <c r="AD24" s="434" t="e">
        <f t="shared" si="1"/>
        <v>#REF!</v>
      </c>
      <c r="AE24" s="349" t="e">
        <f>#REF!</f>
        <v>#REF!</v>
      </c>
    </row>
    <row r="25" spans="2:31" ht="15.75">
      <c r="B25" s="291"/>
      <c r="C25" s="297"/>
      <c r="D25" s="249" t="s">
        <v>274</v>
      </c>
      <c r="E25" s="297" t="s">
        <v>340</v>
      </c>
      <c r="F25" s="297"/>
      <c r="G25" s="442"/>
      <c r="H25" s="347"/>
      <c r="I25" s="347">
        <v>-5894345925.760001</v>
      </c>
      <c r="J25" s="434">
        <v>-4538865919.610001</v>
      </c>
      <c r="K25" s="434">
        <v>-2696890370.8100004</v>
      </c>
      <c r="L25" s="434">
        <v>-56414291.370000035</v>
      </c>
      <c r="M25" s="434">
        <v>-1063258306</v>
      </c>
      <c r="N25" s="434">
        <v>-937002649.94</v>
      </c>
      <c r="O25" s="434">
        <v>-174122431</v>
      </c>
      <c r="P25" s="434">
        <v>-196312660.29999998</v>
      </c>
      <c r="Q25" s="434"/>
      <c r="R25" s="434"/>
      <c r="S25" s="434"/>
      <c r="T25" s="434"/>
      <c r="U25" s="434"/>
      <c r="V25" s="434"/>
      <c r="W25" s="434"/>
      <c r="X25" s="434"/>
      <c r="Y25" s="434"/>
      <c r="Z25" s="434"/>
      <c r="AA25" s="434"/>
      <c r="AB25" s="434">
        <f>5274209230-5200000</f>
        <v>5269009230</v>
      </c>
      <c r="AC25" s="434">
        <f>I25+K25+M25+O25+Q25+S25+U25+Y25+AA25+W25+1</f>
        <v>-9828617032.570002</v>
      </c>
      <c r="AD25" s="434">
        <f>J25+L25+N25+P25+R25+T25+V25+Z25+AB25+X25</f>
        <v>-459586291.22000027</v>
      </c>
      <c r="AE25" s="349">
        <v>0.25999951362609863</v>
      </c>
    </row>
    <row r="26" spans="2:32" ht="16.5" thickBot="1">
      <c r="B26" s="291"/>
      <c r="C26" s="296"/>
      <c r="D26" s="291"/>
      <c r="E26" s="291"/>
      <c r="F26" s="291"/>
      <c r="G26" s="311" t="s">
        <v>391</v>
      </c>
      <c r="H26" s="347"/>
      <c r="I26" s="446">
        <v>4052423131.089999</v>
      </c>
      <c r="J26" s="446">
        <v>-4477769893.610001</v>
      </c>
      <c r="K26" s="446">
        <f>SUM(K21:K25)</f>
        <v>-2524387743.8100004</v>
      </c>
      <c r="L26" s="446" t="e">
        <f>SUM(L21:L25)</f>
        <v>#REF!</v>
      </c>
      <c r="M26" s="446">
        <f>SUM(M21:M25)</f>
        <v>2609230118</v>
      </c>
      <c r="N26" s="446" t="e">
        <f>SUM(N21:N25)</f>
        <v>#REF!</v>
      </c>
      <c r="O26" s="446">
        <f>SUM(O22:O25)</f>
        <v>2999572507</v>
      </c>
      <c r="P26" s="447" t="e">
        <f>SUM(P22:P25)</f>
        <v>#REF!</v>
      </c>
      <c r="Q26" s="416"/>
      <c r="R26" s="416"/>
      <c r="S26" s="416"/>
      <c r="T26" s="416"/>
      <c r="U26" s="416"/>
      <c r="V26" s="416"/>
      <c r="W26" s="416"/>
      <c r="X26" s="416"/>
      <c r="Y26" s="416"/>
      <c r="Z26" s="416"/>
      <c r="AA26" s="416"/>
      <c r="AB26" s="448" t="e">
        <f>SUM(AB21:AB25)</f>
        <v>#REF!</v>
      </c>
      <c r="AC26" s="449">
        <f>I26+K26+M26+O26+Q26+S26+U26+Y26+AA26+W26+1</f>
        <v>7136838013.279999</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5332692460.559999</v>
      </c>
      <c r="J29" s="334">
        <v>5608833991.98</v>
      </c>
      <c r="K29" s="334">
        <f aca="true" t="shared" si="2" ref="K29:P29">K28+K26+K19+K11</f>
        <v>2657183273.6499996</v>
      </c>
      <c r="L29" s="334" t="e">
        <f t="shared" si="2"/>
        <v>#REF!</v>
      </c>
      <c r="M29" s="334">
        <f t="shared" si="2"/>
        <v>2464293993</v>
      </c>
      <c r="N29" s="334" t="e">
        <f t="shared" si="2"/>
        <v>#REF!</v>
      </c>
      <c r="O29" s="334">
        <f t="shared" si="2"/>
        <v>2846564348.65</v>
      </c>
      <c r="P29" s="401" t="e">
        <f t="shared" si="2"/>
        <v>#REF!</v>
      </c>
      <c r="Q29" s="416"/>
      <c r="R29" s="416"/>
      <c r="S29" s="416"/>
      <c r="T29" s="416"/>
      <c r="U29" s="416"/>
      <c r="V29" s="416"/>
      <c r="W29" s="416"/>
      <c r="X29" s="416"/>
      <c r="Y29" s="416"/>
      <c r="Z29" s="416"/>
      <c r="AA29" s="416"/>
      <c r="AB29" s="407" t="e">
        <f>AB28+AB26+AB19+AB11</f>
        <v>#REF!</v>
      </c>
      <c r="AC29" s="245">
        <f>AC11+AC19+AC26+AC28</f>
        <v>13300734077.859999</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62329840.849442646</v>
      </c>
      <c r="J33" s="434">
        <v>63251052.19999999</v>
      </c>
      <c r="K33" s="434">
        <v>63482676.91</v>
      </c>
      <c r="L33" s="434">
        <v>1927719.1500000001</v>
      </c>
      <c r="M33" s="434">
        <v>64798269</v>
      </c>
      <c r="N33" s="434">
        <v>9484163.41</v>
      </c>
      <c r="O33" s="434">
        <v>66093943</v>
      </c>
      <c r="P33" s="434">
        <v>34728931.88999999</v>
      </c>
      <c r="Q33" s="434"/>
      <c r="R33" s="434"/>
      <c r="S33" s="434"/>
      <c r="T33" s="434"/>
      <c r="U33" s="434"/>
      <c r="V33" s="434"/>
      <c r="W33" s="434"/>
      <c r="X33" s="434"/>
      <c r="Y33" s="434"/>
      <c r="Z33" s="443"/>
      <c r="AA33" s="443"/>
      <c r="AB33" s="434">
        <v>5470799.6</v>
      </c>
      <c r="AC33" s="434">
        <f>I33+K33+M33+O33+Q33+S33+U33+Y33+AA33+W33-1</f>
        <v>256704728.75944263</v>
      </c>
      <c r="AD33" s="434">
        <f>J33+L33+N33+P33+R33+T33+V33+Z33+AB33+X33</f>
        <v>114862666.24999997</v>
      </c>
      <c r="AE33" s="349">
        <v>335773865.227</v>
      </c>
    </row>
    <row r="34" spans="2:31" ht="15.75">
      <c r="B34" s="291"/>
      <c r="C34" s="336"/>
      <c r="D34" s="297"/>
      <c r="E34" s="249" t="s">
        <v>265</v>
      </c>
      <c r="F34" s="338" t="s">
        <v>204</v>
      </c>
      <c r="G34" s="442"/>
      <c r="H34" s="347" t="s">
        <v>171</v>
      </c>
      <c r="I34" s="347">
        <v>362913713</v>
      </c>
      <c r="J34" s="434">
        <v>93107023</v>
      </c>
      <c r="K34" s="434">
        <v>9374698</v>
      </c>
      <c r="L34" s="434">
        <v>0</v>
      </c>
      <c r="M34" s="434">
        <v>7849449</v>
      </c>
      <c r="N34" s="434"/>
      <c r="O34" s="434">
        <v>7020727</v>
      </c>
      <c r="P34" s="434">
        <v>10917555</v>
      </c>
      <c r="Q34" s="434"/>
      <c r="R34" s="434"/>
      <c r="S34" s="434"/>
      <c r="T34" s="434"/>
      <c r="U34" s="434"/>
      <c r="V34" s="434"/>
      <c r="W34" s="434"/>
      <c r="X34" s="434"/>
      <c r="Y34" s="434"/>
      <c r="Z34" s="434"/>
      <c r="AA34" s="434"/>
      <c r="AB34" s="434">
        <v>184835</v>
      </c>
      <c r="AC34" s="434">
        <f>I34+K34+M34+O34+Q34+S34+U34+Y34+AA34+W34</f>
        <v>387158587</v>
      </c>
      <c r="AD34" s="434">
        <f>J34+L34+N34+P34+R34+T34+V34+Z34+AB34+X34</f>
        <v>104209413</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144119402.9</v>
      </c>
      <c r="J38" s="434">
        <v>358647196</v>
      </c>
      <c r="K38" s="434">
        <v>338583640.84000003</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482703043.74</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569362956.7494427</v>
      </c>
      <c r="J41" s="174">
        <v>515005271.2</v>
      </c>
      <c r="K41" s="174">
        <f aca="true" t="shared" si="3" ref="K41:P41">SUM(K33:K40)</f>
        <v>411441015.75</v>
      </c>
      <c r="L41" s="174" t="e">
        <f t="shared" si="3"/>
        <v>#REF!</v>
      </c>
      <c r="M41" s="174">
        <f t="shared" si="3"/>
        <v>72647718</v>
      </c>
      <c r="N41" s="174" t="e">
        <f t="shared" si="3"/>
        <v>#REF!</v>
      </c>
      <c r="O41" s="174">
        <f t="shared" si="3"/>
        <v>73114670</v>
      </c>
      <c r="P41" s="436" t="e">
        <f t="shared" si="3"/>
        <v>#REF!</v>
      </c>
      <c r="Q41" s="416"/>
      <c r="R41" s="416"/>
      <c r="S41" s="416"/>
      <c r="T41" s="416"/>
      <c r="U41" s="416"/>
      <c r="V41" s="416"/>
      <c r="W41" s="416"/>
      <c r="X41" s="416"/>
      <c r="Y41" s="416"/>
      <c r="Z41" s="416"/>
      <c r="AA41" s="416"/>
      <c r="AB41" s="308" t="e">
        <f>SUM(AB33:AB40)</f>
        <v>#REF!</v>
      </c>
      <c r="AC41" s="444">
        <f>I41+K41+M41+O41+Q41+S41+U41+Y41+AA41+W41-1</f>
        <v>1126566359.4994426</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c r="J44" s="434">
        <v>0</v>
      </c>
      <c r="K44" s="434"/>
      <c r="L44" s="434" t="e">
        <f>#REF!</f>
        <v>#REF!</v>
      </c>
      <c r="M44" s="434">
        <v>0</v>
      </c>
      <c r="N44" s="434" t="e">
        <f>#REF!</f>
        <v>#REF!</v>
      </c>
      <c r="O44" s="434"/>
      <c r="P44" s="434">
        <v>0</v>
      </c>
      <c r="Q44" s="434"/>
      <c r="R44" s="434"/>
      <c r="S44" s="434"/>
      <c r="T44" s="434"/>
      <c r="U44" s="434"/>
      <c r="V44" s="434"/>
      <c r="W44" s="434"/>
      <c r="X44" s="434"/>
      <c r="Y44" s="434"/>
      <c r="Z44" s="434"/>
      <c r="AA44" s="434"/>
      <c r="AB44" s="434">
        <v>0</v>
      </c>
      <c r="AC44" s="434">
        <f aca="true" t="shared" si="4" ref="AC44:AD48">I44+K44+M44+O44+Q44+S44+U44+Y44+AA44+W44</f>
        <v>0</v>
      </c>
      <c r="AD44" s="434" t="e">
        <f t="shared" si="4"/>
        <v>#REF!</v>
      </c>
      <c r="AE44" s="349" t="e">
        <f>#REF!</f>
        <v>#REF!</v>
      </c>
    </row>
    <row r="45" spans="2:31" ht="15.75">
      <c r="B45" s="291"/>
      <c r="C45" s="297"/>
      <c r="D45" s="249" t="s">
        <v>242</v>
      </c>
      <c r="E45" s="297" t="s">
        <v>352</v>
      </c>
      <c r="F45" s="297"/>
      <c r="G45" s="442"/>
      <c r="H45" s="347" t="s">
        <v>175</v>
      </c>
      <c r="I45" s="347">
        <v>4493034</v>
      </c>
      <c r="J45" s="434">
        <v>147417</v>
      </c>
      <c r="K45" s="434">
        <v>1267172</v>
      </c>
      <c r="L45" s="434">
        <v>0</v>
      </c>
      <c r="M45" s="434">
        <v>1414269</v>
      </c>
      <c r="N45" s="434">
        <v>0</v>
      </c>
      <c r="O45" s="434">
        <v>138620</v>
      </c>
      <c r="P45" s="434" t="e">
        <f>#REF!</f>
        <v>#REF!</v>
      </c>
      <c r="Q45" s="434"/>
      <c r="R45" s="434"/>
      <c r="S45" s="434"/>
      <c r="T45" s="434"/>
      <c r="U45" s="434"/>
      <c r="V45" s="434"/>
      <c r="W45" s="434"/>
      <c r="X45" s="434"/>
      <c r="Y45" s="434"/>
      <c r="Z45" s="434"/>
      <c r="AA45" s="434"/>
      <c r="AB45" s="434" t="e">
        <f>#REF!</f>
        <v>#REF!</v>
      </c>
      <c r="AC45" s="434">
        <f t="shared" si="4"/>
        <v>7313095</v>
      </c>
      <c r="AD45" s="434" t="e">
        <f t="shared" si="4"/>
        <v>#REF!</v>
      </c>
      <c r="AE45" s="349" t="e">
        <f>#REF!</f>
        <v>#REF!</v>
      </c>
    </row>
    <row r="46" spans="2:31" ht="15.75">
      <c r="B46" s="291"/>
      <c r="C46" s="297"/>
      <c r="D46" s="249" t="s">
        <v>243</v>
      </c>
      <c r="E46" s="297" t="s">
        <v>353</v>
      </c>
      <c r="F46" s="297"/>
      <c r="G46" s="442"/>
      <c r="H46" s="347" t="s">
        <v>176</v>
      </c>
      <c r="I46" s="347">
        <v>4683019068.18</v>
      </c>
      <c r="J46" s="434">
        <v>4928093676.65</v>
      </c>
      <c r="K46" s="434">
        <v>2127173480</v>
      </c>
      <c r="L46" s="434" t="e">
        <f>#REF!</f>
        <v>#REF!</v>
      </c>
      <c r="M46" s="434">
        <v>1980051203</v>
      </c>
      <c r="N46" s="434" t="e">
        <f>#REF!</f>
        <v>#REF!</v>
      </c>
      <c r="O46" s="434">
        <v>2334149189</v>
      </c>
      <c r="P46" s="434" t="e">
        <f>#REF!</f>
        <v>#REF!</v>
      </c>
      <c r="Q46" s="434"/>
      <c r="R46" s="434"/>
      <c r="S46" s="434"/>
      <c r="T46" s="434"/>
      <c r="U46" s="434"/>
      <c r="V46" s="434"/>
      <c r="W46" s="434"/>
      <c r="X46" s="434"/>
      <c r="Y46" s="434"/>
      <c r="Z46" s="434"/>
      <c r="AA46" s="434"/>
      <c r="AB46" s="434" t="e">
        <f>#REF!</f>
        <v>#REF!</v>
      </c>
      <c r="AC46" s="434">
        <f t="shared" si="4"/>
        <v>11124392940.18</v>
      </c>
      <c r="AD46" s="434" t="e">
        <f t="shared" si="4"/>
        <v>#REF!</v>
      </c>
      <c r="AE46" s="349" t="e">
        <f>#REF!</f>
        <v>#REF!</v>
      </c>
    </row>
    <row r="47" spans="2:31" ht="15.75">
      <c r="B47" s="291"/>
      <c r="C47" s="297"/>
      <c r="D47" s="249" t="s">
        <v>252</v>
      </c>
      <c r="E47" s="297" t="s">
        <v>354</v>
      </c>
      <c r="F47" s="297"/>
      <c r="G47" s="442"/>
      <c r="H47" s="347" t="s">
        <v>177</v>
      </c>
      <c r="I47" s="347">
        <v>75817403</v>
      </c>
      <c r="J47" s="434">
        <v>165587628</v>
      </c>
      <c r="K47" s="434">
        <v>112697996</v>
      </c>
      <c r="L47" s="434" t="e">
        <f>#REF!</f>
        <v>#REF!</v>
      </c>
      <c r="M47" s="434">
        <v>384682428</v>
      </c>
      <c r="N47" s="434" t="e">
        <f>#REF!</f>
        <v>#REF!</v>
      </c>
      <c r="O47" s="434">
        <v>351475537</v>
      </c>
      <c r="P47" s="434" t="e">
        <f>#REF!</f>
        <v>#REF!</v>
      </c>
      <c r="Q47" s="434"/>
      <c r="R47" s="434"/>
      <c r="S47" s="434"/>
      <c r="T47" s="434"/>
      <c r="U47" s="434"/>
      <c r="V47" s="434"/>
      <c r="W47" s="434"/>
      <c r="X47" s="434"/>
      <c r="Y47" s="434"/>
      <c r="Z47" s="434"/>
      <c r="AA47" s="434"/>
      <c r="AB47" s="434" t="e">
        <f>#REF!</f>
        <v>#REF!</v>
      </c>
      <c r="AC47" s="434">
        <f t="shared" si="4"/>
        <v>924673364</v>
      </c>
      <c r="AD47" s="434" t="e">
        <f t="shared" si="4"/>
        <v>#REF!</v>
      </c>
      <c r="AE47" s="349" t="e">
        <f>#REF!</f>
        <v>#REF!</v>
      </c>
    </row>
    <row r="48" spans="2:31" ht="15.75">
      <c r="B48" s="291"/>
      <c r="C48" s="296"/>
      <c r="D48" s="249" t="s">
        <v>274</v>
      </c>
      <c r="E48" s="297" t="s">
        <v>355</v>
      </c>
      <c r="F48" s="297"/>
      <c r="G48" s="442"/>
      <c r="H48" s="347" t="s">
        <v>178</v>
      </c>
      <c r="I48" s="347">
        <v>0</v>
      </c>
      <c r="J48" s="434">
        <v>0</v>
      </c>
      <c r="K48" s="434">
        <v>4603610</v>
      </c>
      <c r="L48" s="434">
        <v>0</v>
      </c>
      <c r="M48" s="434">
        <v>25498375</v>
      </c>
      <c r="N48" s="434" t="e">
        <f>#REF!</f>
        <v>#REF!</v>
      </c>
      <c r="O48" s="434">
        <v>87686333</v>
      </c>
      <c r="P48" s="434" t="e">
        <f>#REF!</f>
        <v>#REF!</v>
      </c>
      <c r="Q48" s="434"/>
      <c r="R48" s="434"/>
      <c r="S48" s="434"/>
      <c r="T48" s="434"/>
      <c r="U48" s="434"/>
      <c r="V48" s="434"/>
      <c r="W48" s="434"/>
      <c r="X48" s="434"/>
      <c r="Y48" s="434"/>
      <c r="Z48" s="434"/>
      <c r="AA48" s="434"/>
      <c r="AB48" s="434">
        <v>0</v>
      </c>
      <c r="AC48" s="434">
        <f t="shared" si="4"/>
        <v>117788318</v>
      </c>
      <c r="AD48" s="460" t="e">
        <f t="shared" si="4"/>
        <v>#REF!</v>
      </c>
      <c r="AE48" s="349" t="e">
        <f>#REF!</f>
        <v>#REF!</v>
      </c>
    </row>
    <row r="49" spans="2:32" ht="15.75">
      <c r="B49" s="291"/>
      <c r="C49" s="296"/>
      <c r="D49" s="291"/>
      <c r="E49" s="291"/>
      <c r="F49" s="291"/>
      <c r="G49" s="311" t="s">
        <v>393</v>
      </c>
      <c r="H49" s="347"/>
      <c r="I49" s="174">
        <v>4763329505.18</v>
      </c>
      <c r="J49" s="174">
        <v>5093828721.65</v>
      </c>
      <c r="K49" s="174">
        <f aca="true" t="shared" si="5" ref="K49:P49">SUM(K43:K48)</f>
        <v>2245742258</v>
      </c>
      <c r="L49" s="174" t="e">
        <f t="shared" si="5"/>
        <v>#REF!</v>
      </c>
      <c r="M49" s="174">
        <f t="shared" si="5"/>
        <v>2391646275</v>
      </c>
      <c r="N49" s="174" t="e">
        <f t="shared" si="5"/>
        <v>#REF!</v>
      </c>
      <c r="O49" s="174">
        <f t="shared" si="5"/>
        <v>2773449679</v>
      </c>
      <c r="P49" s="436" t="e">
        <f t="shared" si="5"/>
        <v>#REF!</v>
      </c>
      <c r="Q49" s="416"/>
      <c r="R49" s="416"/>
      <c r="S49" s="416"/>
      <c r="T49" s="416"/>
      <c r="U49" s="416"/>
      <c r="V49" s="416"/>
      <c r="W49" s="416"/>
      <c r="X49" s="416"/>
      <c r="Y49" s="416"/>
      <c r="Z49" s="416"/>
      <c r="AA49" s="416"/>
      <c r="AB49" s="437" t="e">
        <f>SUM(AB43:AB48)</f>
        <v>#REF!</v>
      </c>
      <c r="AC49" s="438">
        <f>I49+K49+M49+O49+Q49+S49+U49+Y49+AA49+W49+1</f>
        <v>12174167718.18</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5332692461.929443</v>
      </c>
      <c r="J51" s="334">
        <v>5608833992.849999</v>
      </c>
      <c r="K51" s="334">
        <f aca="true" t="shared" si="6" ref="K51:P51">+K41+K49</f>
        <v>2657183273.75</v>
      </c>
      <c r="L51" s="334" t="e">
        <f t="shared" si="6"/>
        <v>#REF!</v>
      </c>
      <c r="M51" s="334">
        <f t="shared" si="6"/>
        <v>2464293993</v>
      </c>
      <c r="N51" s="334" t="e">
        <f t="shared" si="6"/>
        <v>#REF!</v>
      </c>
      <c r="O51" s="334">
        <f t="shared" si="6"/>
        <v>2846564349</v>
      </c>
      <c r="P51" s="401" t="e">
        <f t="shared" si="6"/>
        <v>#REF!</v>
      </c>
      <c r="Q51" s="416"/>
      <c r="R51" s="416"/>
      <c r="S51" s="416"/>
      <c r="T51" s="416"/>
      <c r="U51" s="416"/>
      <c r="V51" s="416"/>
      <c r="W51" s="416"/>
      <c r="X51" s="416"/>
      <c r="Y51" s="416"/>
      <c r="Z51" s="416"/>
      <c r="AA51" s="416"/>
      <c r="AB51" s="407" t="e">
        <f>+AB41+AB49</f>
        <v>#REF!</v>
      </c>
      <c r="AC51" s="245">
        <f>I51+K51+M51+O51+Q51+S51+U51+Y51+AA51+W51</f>
        <v>13300734077.679443</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-1.3694438934326172</v>
      </c>
      <c r="J53" s="350">
        <f aca="true" t="shared" si="7" ref="J53:P53">J51-J29</f>
        <v>0.869999885559082</v>
      </c>
      <c r="K53" s="350">
        <f t="shared" si="7"/>
        <v>0.10000038146972656</v>
      </c>
      <c r="L53" s="350" t="e">
        <f t="shared" si="7"/>
        <v>#REF!</v>
      </c>
      <c r="M53" s="350">
        <f t="shared" si="7"/>
        <v>0</v>
      </c>
      <c r="N53" s="350" t="e">
        <f t="shared" si="7"/>
        <v>#REF!</v>
      </c>
      <c r="O53" s="350">
        <f t="shared" si="7"/>
        <v>0.34999990463256836</v>
      </c>
      <c r="P53" s="350" t="e">
        <f t="shared" si="7"/>
        <v>#REF!</v>
      </c>
      <c r="Q53" s="417"/>
      <c r="R53" s="417"/>
      <c r="S53" s="417"/>
      <c r="T53" s="417"/>
      <c r="U53" s="417"/>
      <c r="V53" s="417"/>
      <c r="W53" s="417"/>
      <c r="X53" s="417"/>
      <c r="Y53" s="417"/>
      <c r="Z53" s="417"/>
      <c r="AA53" s="417"/>
      <c r="AB53" s="350" t="e">
        <f>AB51-AB29</f>
        <v>#REF!</v>
      </c>
      <c r="AC53" s="350">
        <f>AC51-AC29</f>
        <v>-0.1805553436279297</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zoomScalePageLayoutView="0" workbookViewId="0" topLeftCell="A1">
      <pane xSplit="6" topLeftCell="G1" activePane="topRight" state="frozen"/>
      <selection pane="topLeft" activeCell="A1" sqref="A1"/>
      <selection pane="topRight" activeCell="M8" sqref="M8"/>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5"/>
      <c r="D3" s="266"/>
      <c r="E3" s="266"/>
      <c r="F3" s="266"/>
      <c r="G3" s="266"/>
      <c r="H3" s="266"/>
      <c r="I3" s="267"/>
      <c r="J3" s="267"/>
      <c r="K3" s="302"/>
      <c r="L3" s="302"/>
      <c r="M3" s="302"/>
      <c r="N3" s="302"/>
      <c r="O3" s="302"/>
      <c r="P3" s="302"/>
      <c r="Q3" s="302"/>
      <c r="R3" s="302"/>
      <c r="S3" s="302"/>
      <c r="T3" s="302"/>
      <c r="U3" s="302"/>
      <c r="V3" s="302"/>
      <c r="W3" s="302"/>
      <c r="X3" s="302"/>
      <c r="Y3" s="302"/>
      <c r="Z3" s="302"/>
      <c r="AA3" s="302"/>
      <c r="AB3" s="302"/>
      <c r="AC3" s="261"/>
      <c r="AD3" s="261"/>
    </row>
    <row r="4" spans="2:30" s="302" customFormat="1" ht="18.75" customHeight="1">
      <c r="B4" s="363" t="s">
        <v>326</v>
      </c>
      <c r="C4" s="265"/>
      <c r="D4" s="266"/>
      <c r="E4" s="266"/>
      <c r="F4" s="266"/>
      <c r="G4" s="266"/>
      <c r="H4" s="266"/>
      <c r="I4" s="267"/>
      <c r="J4" s="267"/>
      <c r="N4" s="389"/>
      <c r="O4" s="291"/>
      <c r="P4" s="390"/>
      <c r="R4" s="391"/>
      <c r="S4" s="391"/>
      <c r="T4" s="291"/>
      <c r="U4" s="291"/>
      <c r="V4" s="291"/>
      <c r="W4" s="291"/>
      <c r="X4" s="291"/>
      <c r="Y4" s="291"/>
      <c r="Z4" s="291"/>
      <c r="AA4" s="291"/>
      <c r="AB4" s="291"/>
      <c r="AC4" s="266"/>
      <c r="AD4" s="266"/>
    </row>
    <row r="5" spans="2:30" s="302" customFormat="1" ht="18" customHeight="1">
      <c r="B5" s="264"/>
      <c r="C5" s="265"/>
      <c r="D5" s="266"/>
      <c r="E5" s="266"/>
      <c r="F5" s="266"/>
      <c r="G5" s="266"/>
      <c r="H5" s="507" t="s">
        <v>323</v>
      </c>
      <c r="I5" s="507" t="s">
        <v>300</v>
      </c>
      <c r="J5" s="507" t="s">
        <v>299</v>
      </c>
      <c r="K5" s="507" t="s">
        <v>397</v>
      </c>
      <c r="L5" s="521" t="s">
        <v>398</v>
      </c>
      <c r="M5" s="392"/>
      <c r="N5" s="393"/>
      <c r="O5" s="394"/>
      <c r="P5" s="393"/>
      <c r="Q5" s="394"/>
      <c r="R5" s="393"/>
      <c r="S5" s="394"/>
      <c r="T5" s="395"/>
      <c r="U5" s="395"/>
      <c r="V5" s="395"/>
      <c r="W5" s="390"/>
      <c r="X5" s="395"/>
      <c r="Y5" s="395"/>
      <c r="Z5" s="395"/>
      <c r="AA5" s="395"/>
      <c r="AB5" s="264"/>
      <c r="AC5" s="266"/>
      <c r="AD5" s="266"/>
    </row>
    <row r="6" spans="2:30" s="335" customFormat="1" ht="12.75" customHeight="1">
      <c r="B6" s="273" t="s">
        <v>216</v>
      </c>
      <c r="C6" s="274"/>
      <c r="D6" s="274"/>
      <c r="E6" s="274"/>
      <c r="F6" s="274"/>
      <c r="G6" s="274"/>
      <c r="H6" s="511" t="s">
        <v>318</v>
      </c>
      <c r="I6" s="511" t="s">
        <v>318</v>
      </c>
      <c r="J6" s="511" t="s">
        <v>318</v>
      </c>
      <c r="K6" s="511" t="s">
        <v>318</v>
      </c>
      <c r="L6" s="511" t="s">
        <v>318</v>
      </c>
      <c r="M6" s="365"/>
      <c r="N6" s="365"/>
      <c r="O6" s="365"/>
      <c r="P6" s="396"/>
      <c r="Q6" s="396"/>
      <c r="R6" s="396"/>
      <c r="S6" s="396"/>
      <c r="T6" s="396"/>
      <c r="U6" s="396"/>
      <c r="V6" s="396"/>
      <c r="W6" s="396"/>
      <c r="X6" s="396"/>
      <c r="Y6" s="396"/>
      <c r="Z6" s="396"/>
      <c r="AA6" s="396"/>
      <c r="AB6" s="243" t="s">
        <v>329</v>
      </c>
      <c r="AC6" s="243" t="s">
        <v>330</v>
      </c>
      <c r="AD6" s="366" t="s">
        <v>193</v>
      </c>
    </row>
    <row r="7" spans="2:30" s="188" customFormat="1" ht="15">
      <c r="B7" s="280"/>
      <c r="C7" s="281"/>
      <c r="D7" s="281"/>
      <c r="E7" s="281"/>
      <c r="F7" s="281"/>
      <c r="G7" s="281"/>
      <c r="H7" s="512" t="s">
        <v>321</v>
      </c>
      <c r="I7" s="512" t="s">
        <v>321</v>
      </c>
      <c r="J7" s="512" t="s">
        <v>321</v>
      </c>
      <c r="K7" s="512" t="s">
        <v>321</v>
      </c>
      <c r="L7" s="520" t="s">
        <v>321</v>
      </c>
      <c r="N7" s="396"/>
      <c r="O7" s="396"/>
      <c r="P7" s="396"/>
      <c r="Q7" s="396"/>
      <c r="R7" s="365"/>
      <c r="S7" s="365"/>
      <c r="T7" s="365"/>
      <c r="U7" s="365"/>
      <c r="V7" s="365"/>
      <c r="W7" s="365"/>
      <c r="X7" s="365"/>
      <c r="Y7" s="365"/>
      <c r="Z7" s="365"/>
      <c r="AA7" s="365"/>
      <c r="AB7" s="385" t="s">
        <v>323</v>
      </c>
      <c r="AC7" s="367" t="s">
        <v>300</v>
      </c>
      <c r="AD7" s="284" t="s">
        <v>187</v>
      </c>
    </row>
    <row r="8" spans="2:30" s="335" customFormat="1" ht="15.75" customHeight="1">
      <c r="B8" s="545"/>
      <c r="C8" s="545"/>
      <c r="D8" s="545"/>
      <c r="E8" s="545"/>
      <c r="F8" s="545"/>
      <c r="G8" s="189"/>
      <c r="H8" s="189"/>
      <c r="I8" s="177"/>
      <c r="J8" s="177"/>
      <c r="K8" s="177"/>
      <c r="L8" s="177"/>
      <c r="M8" s="177"/>
      <c r="N8" s="177"/>
      <c r="O8" s="177"/>
      <c r="P8" s="177"/>
      <c r="Q8" s="177"/>
      <c r="R8" s="177"/>
      <c r="S8" s="177"/>
      <c r="T8" s="177"/>
      <c r="U8" s="177"/>
      <c r="V8" s="177"/>
      <c r="W8" s="177"/>
      <c r="X8" s="177"/>
      <c r="Y8" s="177"/>
      <c r="Z8" s="177"/>
      <c r="AA8" s="177"/>
      <c r="AB8" s="177"/>
      <c r="AC8" s="177"/>
      <c r="AD8" s="310"/>
    </row>
    <row r="9" spans="2:31" ht="15.75">
      <c r="B9" s="260" t="s">
        <v>284</v>
      </c>
      <c r="C9" s="32" t="s">
        <v>356</v>
      </c>
      <c r="D9" s="260"/>
      <c r="E9" s="32"/>
      <c r="F9" s="368"/>
      <c r="G9" s="130" t="s">
        <v>179</v>
      </c>
      <c r="H9" s="130">
        <f>'[1]Note Q-R-S'!G36</f>
        <v>13700087</v>
      </c>
      <c r="I9" s="175">
        <v>13665346</v>
      </c>
      <c r="J9" s="175">
        <v>12438228</v>
      </c>
      <c r="K9" s="175">
        <v>0</v>
      </c>
      <c r="L9" s="175">
        <v>0</v>
      </c>
      <c r="M9" s="175"/>
      <c r="N9" s="175"/>
      <c r="O9" s="175"/>
      <c r="P9" s="175"/>
      <c r="Q9" s="175"/>
      <c r="R9" s="175"/>
      <c r="S9" s="175"/>
      <c r="T9" s="175"/>
      <c r="U9" s="175"/>
      <c r="V9" s="175"/>
      <c r="W9" s="175"/>
      <c r="X9" s="175"/>
      <c r="Y9" s="175"/>
      <c r="Z9" s="175"/>
      <c r="AA9" s="175"/>
      <c r="AB9" s="175">
        <f>+H9+J9+L9+N9+P9+R9+T9+V9+X9+Z9</f>
        <v>26138315</v>
      </c>
      <c r="AC9" s="175">
        <f>+I9+K9+M9+O9+Q9+S9+U9+W9+Y9+AA9</f>
        <v>13665346</v>
      </c>
      <c r="AD9" s="191" t="e">
        <f>#REF!</f>
        <v>#REF!</v>
      </c>
      <c r="AE9" s="192"/>
    </row>
    <row r="10" spans="2:31" ht="15.75">
      <c r="B10" s="214" t="s">
        <v>259</v>
      </c>
      <c r="C10" s="154" t="s">
        <v>357</v>
      </c>
      <c r="D10" s="214"/>
      <c r="E10" s="154"/>
      <c r="F10" s="368"/>
      <c r="G10" s="193" t="s">
        <v>180</v>
      </c>
      <c r="H10" s="193">
        <f>'[1]Note Q-R-S'!G65</f>
        <v>9537085</v>
      </c>
      <c r="I10" s="175">
        <v>4154680</v>
      </c>
      <c r="J10" s="175">
        <v>165144</v>
      </c>
      <c r="K10" s="175">
        <v>10601326</v>
      </c>
      <c r="L10" s="175">
        <v>8823795</v>
      </c>
      <c r="M10" s="175"/>
      <c r="N10" s="175"/>
      <c r="O10" s="175"/>
      <c r="P10" s="175"/>
      <c r="Q10" s="175"/>
      <c r="R10" s="175"/>
      <c r="S10" s="175"/>
      <c r="T10" s="175"/>
      <c r="U10" s="175"/>
      <c r="V10" s="175"/>
      <c r="W10" s="175"/>
      <c r="X10" s="175"/>
      <c r="Y10" s="175"/>
      <c r="Z10" s="175"/>
      <c r="AA10" s="175"/>
      <c r="AB10" s="175">
        <f>+H10+J10+L10+N10+P10+R10+T10+V10+X10+Z10</f>
        <v>18526024</v>
      </c>
      <c r="AC10" s="175">
        <f>+I10+K10+M10+O10+Q10+S10+U10+W10+Y10+AA10</f>
        <v>14756006</v>
      </c>
      <c r="AD10" s="191" t="e">
        <f>#REF!</f>
        <v>#REF!</v>
      </c>
      <c r="AE10" s="192"/>
    </row>
    <row r="11" spans="2:29" ht="15.75">
      <c r="B11" s="214"/>
      <c r="C11" s="154"/>
      <c r="D11" s="214"/>
      <c r="E11" s="154"/>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14" t="s">
        <v>285</v>
      </c>
      <c r="C12" s="154" t="s">
        <v>358</v>
      </c>
      <c r="D12" s="225"/>
      <c r="E12" s="225"/>
      <c r="F12" s="202"/>
      <c r="G12" s="193"/>
      <c r="H12" s="195">
        <f>SUM(H9:H11)</f>
        <v>23237172</v>
      </c>
      <c r="I12" s="195">
        <v>17820026</v>
      </c>
      <c r="J12" s="195">
        <f>SUM(J9:J11)</f>
        <v>12603372</v>
      </c>
      <c r="K12" s="195">
        <f>SUM(K9:K11)</f>
        <v>10601326</v>
      </c>
      <c r="L12" s="381">
        <f>SUM(L9:L11)</f>
        <v>8823795</v>
      </c>
      <c r="M12" s="397"/>
      <c r="N12" s="397"/>
      <c r="O12" s="397"/>
      <c r="P12" s="397"/>
      <c r="Q12" s="397"/>
      <c r="R12" s="397"/>
      <c r="S12" s="397"/>
      <c r="T12" s="397"/>
      <c r="U12" s="397"/>
      <c r="V12" s="397"/>
      <c r="W12" s="397"/>
      <c r="X12" s="397"/>
      <c r="Y12" s="397"/>
      <c r="Z12" s="397"/>
      <c r="AA12" s="397"/>
      <c r="AB12" s="386">
        <f>+H12+J12+L12+N12+P12+R12+T12+V12+X12+Z12</f>
        <v>44664339</v>
      </c>
      <c r="AC12" s="369">
        <f>+I12+K12+M12+O12+Q12+S12+U12+W12+Y12+AA12</f>
        <v>28421352</v>
      </c>
      <c r="AD12" s="195" t="e">
        <f>SUM(AD9:AD11)</f>
        <v>#REF!</v>
      </c>
      <c r="AE12" s="192"/>
      <c r="AF12" s="192"/>
      <c r="AG12" s="192"/>
    </row>
    <row r="13" spans="2:29" ht="15.75">
      <c r="B13" s="214" t="s">
        <v>286</v>
      </c>
      <c r="C13" s="154" t="s">
        <v>359</v>
      </c>
      <c r="D13" s="154"/>
      <c r="E13" s="225"/>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154"/>
      <c r="C14" s="215" t="s">
        <v>241</v>
      </c>
      <c r="D14" s="225" t="s">
        <v>360</v>
      </c>
      <c r="E14" s="225"/>
      <c r="F14" s="216"/>
      <c r="G14" s="193" t="s">
        <v>164</v>
      </c>
      <c r="H14" s="175">
        <v>0</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0</v>
      </c>
      <c r="AC14" s="175">
        <f>I14+K14+M14+O14+Q14+S14+U14+Y14+AA14</f>
        <v>0</v>
      </c>
      <c r="AD14" s="191" t="e">
        <f>#REF!</f>
        <v>#REF!</v>
      </c>
      <c r="AF14" s="192"/>
    </row>
    <row r="15" spans="2:32" ht="15.75">
      <c r="B15" s="154"/>
      <c r="C15" s="215" t="s">
        <v>242</v>
      </c>
      <c r="D15" s="225" t="s">
        <v>361</v>
      </c>
      <c r="E15" s="225"/>
      <c r="F15" s="216"/>
      <c r="G15" s="193" t="s">
        <v>232</v>
      </c>
      <c r="H15" s="193"/>
      <c r="I15" s="175">
        <v>0</v>
      </c>
      <c r="J15" s="175">
        <v>0</v>
      </c>
      <c r="K15" s="175">
        <v>0</v>
      </c>
      <c r="L15" s="175">
        <v>0</v>
      </c>
      <c r="M15" s="175"/>
      <c r="N15" s="175"/>
      <c r="O15" s="175"/>
      <c r="P15" s="175"/>
      <c r="Q15" s="175"/>
      <c r="R15" s="175"/>
      <c r="S15" s="175"/>
      <c r="T15" s="175"/>
      <c r="U15" s="175"/>
      <c r="V15" s="175"/>
      <c r="W15" s="175"/>
      <c r="X15" s="175"/>
      <c r="Y15" s="175"/>
      <c r="Z15" s="175"/>
      <c r="AA15" s="175"/>
      <c r="AB15" s="175">
        <f>+H15+J15+L15+N15+P15+R15+T15+V15+X15+Z15</f>
        <v>0</v>
      </c>
      <c r="AC15" s="175">
        <f>I15+K15+M15+O15+Q15+S15+U15+Y15+AA15+W15</f>
        <v>0</v>
      </c>
      <c r="AD15" s="191">
        <v>7993970783.59</v>
      </c>
      <c r="AF15" s="192"/>
    </row>
    <row r="16" spans="2:32" ht="15.75" customHeight="1">
      <c r="B16" s="154"/>
      <c r="C16" s="215" t="s">
        <v>243</v>
      </c>
      <c r="D16" s="549" t="s">
        <v>374</v>
      </c>
      <c r="E16" s="549"/>
      <c r="F16" s="549"/>
      <c r="G16" s="550" t="s">
        <v>233</v>
      </c>
      <c r="H16" s="550"/>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154"/>
      <c r="C17" s="215"/>
      <c r="D17" s="549"/>
      <c r="E17" s="549"/>
      <c r="F17" s="549"/>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154"/>
      <c r="C18" s="215" t="s">
        <v>252</v>
      </c>
      <c r="D18" s="225" t="s">
        <v>362</v>
      </c>
      <c r="E18" s="225"/>
      <c r="F18" s="216"/>
      <c r="G18" s="193" t="s">
        <v>234</v>
      </c>
      <c r="H18" s="193">
        <v>8858638</v>
      </c>
      <c r="I18" s="175">
        <v>7383428</v>
      </c>
      <c r="J18" s="175">
        <v>7108518</v>
      </c>
      <c r="K18" s="175">
        <v>7277475</v>
      </c>
      <c r="L18" s="175">
        <v>6015617</v>
      </c>
      <c r="M18" s="175"/>
      <c r="N18" s="175"/>
      <c r="O18" s="175"/>
      <c r="P18" s="175"/>
      <c r="Q18" s="175"/>
      <c r="R18" s="175"/>
      <c r="S18" s="175"/>
      <c r="T18" s="175"/>
      <c r="U18" s="175"/>
      <c r="V18" s="175"/>
      <c r="W18" s="175"/>
      <c r="X18" s="175"/>
      <c r="Y18" s="175"/>
      <c r="Z18" s="175"/>
      <c r="AA18" s="175"/>
      <c r="AB18" s="175">
        <f>+H18+J18+L18+N18+P18+R18+T18+V18+X18+Z18</f>
        <v>21982773</v>
      </c>
      <c r="AC18" s="175">
        <f>+I18+K18+M18+O18+Q18+S18+U18+W18+Y18+AA18</f>
        <v>14660903</v>
      </c>
      <c r="AD18" s="175" t="e">
        <f>#REF!</f>
        <v>#REF!</v>
      </c>
      <c r="AE18" s="192"/>
      <c r="AF18" s="192"/>
    </row>
    <row r="19" spans="2:32" ht="15.75" customHeight="1">
      <c r="B19" s="154"/>
      <c r="C19" s="215" t="s">
        <v>274</v>
      </c>
      <c r="D19" s="225" t="s">
        <v>363</v>
      </c>
      <c r="E19" s="225"/>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217"/>
      <c r="C20" s="215" t="s">
        <v>282</v>
      </c>
      <c r="D20" s="225" t="s">
        <v>364</v>
      </c>
      <c r="E20" s="225"/>
      <c r="F20" s="216"/>
      <c r="G20" s="193"/>
      <c r="H20" s="193">
        <v>1998347</v>
      </c>
      <c r="I20" s="175">
        <v>1964859</v>
      </c>
      <c r="J20" s="175">
        <v>1948088.45</v>
      </c>
      <c r="K20" s="175">
        <v>1933073</v>
      </c>
      <c r="L20" s="175">
        <v>2348420</v>
      </c>
      <c r="M20" s="175"/>
      <c r="N20" s="175"/>
      <c r="O20" s="175"/>
      <c r="P20" s="175"/>
      <c r="Q20" s="175"/>
      <c r="R20" s="175"/>
      <c r="S20" s="175"/>
      <c r="T20" s="175"/>
      <c r="U20" s="175"/>
      <c r="V20" s="175"/>
      <c r="W20" s="175"/>
      <c r="X20" s="175"/>
      <c r="Y20" s="175"/>
      <c r="Z20" s="175"/>
      <c r="AA20" s="175"/>
      <c r="AB20" s="175">
        <f>+H20+J20+L20+N20+P20+R20+T20+V20+X20+Z20</f>
        <v>6294855.45</v>
      </c>
      <c r="AC20" s="175">
        <f>+I20+K20+M20+O20+Q20+S20+U20+W20+Y20+AA20</f>
        <v>3897932</v>
      </c>
      <c r="AD20" s="191">
        <v>15784125.999999998</v>
      </c>
      <c r="AF20" s="192"/>
    </row>
    <row r="21" spans="2:32" ht="15.75">
      <c r="B21" s="217"/>
      <c r="C21" s="215" t="s">
        <v>287</v>
      </c>
      <c r="D21" s="225" t="s">
        <v>365</v>
      </c>
      <c r="F21" s="216"/>
      <c r="G21" s="193" t="s">
        <v>235</v>
      </c>
      <c r="H21" s="193">
        <v>12115218</v>
      </c>
      <c r="I21" s="175">
        <v>7995045</v>
      </c>
      <c r="J21" s="175">
        <v>6213056</v>
      </c>
      <c r="K21" s="175">
        <f>5760753-1564345</f>
        <v>4196408</v>
      </c>
      <c r="L21" s="175">
        <f>5363040-100104</f>
        <v>5262936</v>
      </c>
      <c r="M21" s="175"/>
      <c r="N21" s="175"/>
      <c r="O21" s="175"/>
      <c r="P21" s="175"/>
      <c r="Q21" s="175"/>
      <c r="R21" s="175"/>
      <c r="S21" s="175"/>
      <c r="T21" s="175"/>
      <c r="U21" s="175"/>
      <c r="V21" s="175"/>
      <c r="W21" s="175"/>
      <c r="X21" s="175"/>
      <c r="Y21" s="175"/>
      <c r="Z21" s="175"/>
      <c r="AA21" s="175"/>
      <c r="AB21" s="175">
        <f>+H21+J21+L21+N21+P21+R21+T21+V21+X21+Z21</f>
        <v>23591210</v>
      </c>
      <c r="AC21" s="175">
        <f>+I21+K21+M21+O21+Q21+S21+U21+W21+Y21+AA21</f>
        <v>12191453</v>
      </c>
      <c r="AD21" s="175" t="e">
        <f>#REF!</f>
        <v>#REF!</v>
      </c>
      <c r="AF21" s="192"/>
    </row>
    <row r="22" spans="2:29" ht="15.75" customHeight="1">
      <c r="B22" s="217"/>
      <c r="C22" s="215"/>
      <c r="D22" s="225"/>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217"/>
      <c r="C23" s="155" t="s">
        <v>366</v>
      </c>
      <c r="F23" s="218"/>
      <c r="G23" s="193"/>
      <c r="H23" s="197">
        <v>22972203</v>
      </c>
      <c r="I23" s="197">
        <v>17343332</v>
      </c>
      <c r="J23" s="197">
        <f>SUM(J14:J22)</f>
        <v>15269662.45</v>
      </c>
      <c r="K23" s="197">
        <f>SUM(K14:K22)</f>
        <v>13406956</v>
      </c>
      <c r="L23" s="382">
        <f>SUM(L15:L22)-1</f>
        <v>13626972</v>
      </c>
      <c r="M23" s="398"/>
      <c r="N23" s="398"/>
      <c r="O23" s="398"/>
      <c r="P23" s="398"/>
      <c r="Q23" s="398"/>
      <c r="R23" s="398"/>
      <c r="S23" s="398"/>
      <c r="T23" s="398"/>
      <c r="U23" s="398"/>
      <c r="V23" s="398"/>
      <c r="W23" s="398"/>
      <c r="X23" s="398"/>
      <c r="Y23" s="398"/>
      <c r="Z23" s="398"/>
      <c r="AA23" s="398"/>
      <c r="AB23" s="386">
        <f>+H23+J23+L23+N23+P23+R23+T23+V23+X23+Z23+1</f>
        <v>51868838.45</v>
      </c>
      <c r="AC23" s="369">
        <f>+I23+K23+M23+O23+Q23+S23+U23+W23+Y23+AA23</f>
        <v>30750288</v>
      </c>
      <c r="AD23" s="197" t="e">
        <f>SUM(AD14:AD22)</f>
        <v>#REF!</v>
      </c>
      <c r="AE23" s="192"/>
      <c r="AF23" s="192"/>
    </row>
    <row r="24" spans="2:29" ht="15">
      <c r="B24" s="217"/>
      <c r="F24" s="218"/>
      <c r="G24" s="193"/>
      <c r="H24" s="193"/>
      <c r="I24" s="179"/>
      <c r="J24" s="179"/>
      <c r="K24" s="179"/>
      <c r="L24" s="179"/>
      <c r="M24" s="179"/>
      <c r="N24" s="179"/>
      <c r="O24" s="179"/>
      <c r="P24" s="179"/>
      <c r="Q24" s="179"/>
      <c r="R24" s="179"/>
      <c r="S24" s="179"/>
      <c r="T24" s="179"/>
      <c r="U24" s="179"/>
      <c r="V24" s="179"/>
      <c r="W24" s="179"/>
      <c r="X24" s="179"/>
      <c r="Y24" s="179"/>
      <c r="Z24" s="179"/>
      <c r="AA24" s="179"/>
      <c r="AB24" s="179"/>
      <c r="AC24" s="179"/>
    </row>
    <row r="25" spans="2:33" ht="15.75">
      <c r="B25" s="214" t="s">
        <v>288</v>
      </c>
      <c r="C25" s="154" t="s">
        <v>376</v>
      </c>
      <c r="D25" s="225"/>
      <c r="E25" s="225"/>
      <c r="F25" s="219"/>
      <c r="G25" s="193"/>
      <c r="H25" s="178">
        <v>264969</v>
      </c>
      <c r="I25" s="178">
        <f>+I12-I23</f>
        <v>476694</v>
      </c>
      <c r="J25" s="178">
        <f>+J12-J23</f>
        <v>-2666290.4499999993</v>
      </c>
      <c r="K25" s="178">
        <f>+K12-K23</f>
        <v>-2805630</v>
      </c>
      <c r="L25" s="178">
        <f>+L12-L23</f>
        <v>-4803177</v>
      </c>
      <c r="M25" s="178"/>
      <c r="N25" s="178"/>
      <c r="O25" s="178"/>
      <c r="P25" s="178"/>
      <c r="Q25" s="178"/>
      <c r="R25" s="178"/>
      <c r="S25" s="178"/>
      <c r="T25" s="178"/>
      <c r="U25" s="178"/>
      <c r="V25" s="178"/>
      <c r="W25" s="178"/>
      <c r="X25" s="178"/>
      <c r="Y25" s="178"/>
      <c r="Z25" s="178"/>
      <c r="AA25" s="178"/>
      <c r="AB25" s="175">
        <f>+H25+J25+L25+N25+P25+R25+T25+V25+X25+Z25</f>
        <v>-7204498.449999999</v>
      </c>
      <c r="AC25" s="175">
        <f>+I25+K25+M25+O25+Q25+S25+U25+W25+Y25+AA25</f>
        <v>-2328936</v>
      </c>
      <c r="AD25" s="178" t="e">
        <f>+AD12-AD23</f>
        <v>#REF!</v>
      </c>
      <c r="AF25" s="192"/>
      <c r="AG25" s="192"/>
    </row>
    <row r="26" spans="2:29" ht="15.75">
      <c r="B26" s="217"/>
      <c r="C26" s="154"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14" t="s">
        <v>289</v>
      </c>
      <c r="C27" s="154" t="s">
        <v>367</v>
      </c>
      <c r="D27" s="154"/>
      <c r="E27" s="225"/>
      <c r="F27" s="216"/>
      <c r="G27" s="193"/>
      <c r="H27" s="193"/>
      <c r="I27" s="180">
        <v>0</v>
      </c>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14" t="s">
        <v>290</v>
      </c>
      <c r="C28" s="154" t="s">
        <v>377</v>
      </c>
      <c r="D28" s="154"/>
      <c r="E28" s="235"/>
      <c r="F28" s="216"/>
      <c r="G28" s="193"/>
      <c r="H28" s="180">
        <v>264969</v>
      </c>
      <c r="I28" s="180">
        <f>+I25-I27</f>
        <v>476694</v>
      </c>
      <c r="J28" s="180">
        <f>+J25-J27</f>
        <v>-2666290.4499999993</v>
      </c>
      <c r="K28" s="180">
        <f>+K25-K27</f>
        <v>-2805630</v>
      </c>
      <c r="L28" s="180">
        <f>+L25-L27</f>
        <v>-4803177</v>
      </c>
      <c r="M28" s="180"/>
      <c r="N28" s="180"/>
      <c r="O28" s="180"/>
      <c r="P28" s="180"/>
      <c r="Q28" s="180"/>
      <c r="R28" s="180"/>
      <c r="S28" s="180"/>
      <c r="T28" s="180"/>
      <c r="U28" s="180"/>
      <c r="V28" s="180"/>
      <c r="W28" s="180"/>
      <c r="X28" s="180"/>
      <c r="Y28" s="180"/>
      <c r="Z28" s="180"/>
      <c r="AA28" s="180"/>
      <c r="AB28" s="175">
        <f>+H28+J28+L28+N28+P28+R28+T28+V28+X28+Z28</f>
        <v>-7204498.449999999</v>
      </c>
      <c r="AC28" s="175">
        <f>+I28+K28+M28+O28+Q28+S28+U28+W28+Y28+AA28</f>
        <v>-2328936</v>
      </c>
      <c r="AD28" s="180" t="e">
        <f>+AD25-AD27</f>
        <v>#REF!</v>
      </c>
    </row>
    <row r="29" spans="2:30" ht="15.75">
      <c r="B29" s="214" t="s">
        <v>291</v>
      </c>
      <c r="C29" s="154" t="s">
        <v>368</v>
      </c>
      <c r="D29" s="225"/>
      <c r="E29" s="370"/>
      <c r="F29" s="216"/>
      <c r="G29" s="193"/>
      <c r="H29" s="193"/>
      <c r="I29" s="180">
        <v>0</v>
      </c>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14" t="s">
        <v>292</v>
      </c>
      <c r="C30" s="154" t="s">
        <v>378</v>
      </c>
      <c r="D30" s="214"/>
      <c r="E30" s="154"/>
      <c r="F30" s="216"/>
      <c r="G30" s="193"/>
      <c r="H30" s="181">
        <v>264969</v>
      </c>
      <c r="I30" s="181">
        <f>+I28-I29</f>
        <v>476694</v>
      </c>
      <c r="J30" s="181">
        <f>+J28-J29</f>
        <v>-2666290.4499999993</v>
      </c>
      <c r="K30" s="181">
        <f>+K28-K29</f>
        <v>-2805630</v>
      </c>
      <c r="L30" s="181">
        <f>+L28-L29</f>
        <v>-4803177</v>
      </c>
      <c r="M30" s="181"/>
      <c r="N30" s="181"/>
      <c r="O30" s="181"/>
      <c r="P30" s="181"/>
      <c r="Q30" s="181"/>
      <c r="R30" s="181"/>
      <c r="S30" s="181"/>
      <c r="T30" s="181"/>
      <c r="U30" s="181"/>
      <c r="V30" s="181"/>
      <c r="W30" s="181"/>
      <c r="X30" s="181"/>
      <c r="Y30" s="181"/>
      <c r="Z30" s="181"/>
      <c r="AA30" s="181"/>
      <c r="AB30" s="175">
        <f>+H30+J30+L30+N30+P30+R30+T30+V30+X30+Z30</f>
        <v>-7204498.449999999</v>
      </c>
      <c r="AC30" s="175">
        <f>+I30+K30+M30+O30+Q30+S30+U30+W30+Y30+AA30</f>
        <v>-2328936</v>
      </c>
      <c r="AD30" s="181" t="e">
        <f>+AD28-AD29</f>
        <v>#REF!</v>
      </c>
    </row>
    <row r="31" spans="2:29" ht="15.75">
      <c r="B31" s="214" t="s">
        <v>194</v>
      </c>
      <c r="C31" s="154" t="s">
        <v>369</v>
      </c>
      <c r="D31" s="214"/>
      <c r="E31" s="154"/>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20"/>
      <c r="C32" s="215" t="s">
        <v>241</v>
      </c>
      <c r="D32" s="225" t="s">
        <v>370</v>
      </c>
      <c r="E32" s="370"/>
      <c r="F32" s="216"/>
      <c r="G32" s="193"/>
      <c r="H32" s="193"/>
      <c r="I32" s="180">
        <v>0</v>
      </c>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 aca="true" t="shared" si="0" ref="AC32:AC40">I32+K32+M32+O32+Q32+S32+U32+Y32+AA32</f>
        <v>0</v>
      </c>
      <c r="AD32" s="191">
        <v>27500000</v>
      </c>
    </row>
    <row r="33" spans="2:30" ht="15.75">
      <c r="B33" s="220"/>
      <c r="C33" s="215" t="s">
        <v>242</v>
      </c>
      <c r="D33" s="225" t="s">
        <v>371</v>
      </c>
      <c r="E33" s="370"/>
      <c r="F33" s="216"/>
      <c r="G33" s="193"/>
      <c r="H33" s="193"/>
      <c r="I33" s="180">
        <v>0</v>
      </c>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 t="shared" si="0"/>
        <v>0</v>
      </c>
      <c r="AD33" s="191">
        <v>682000</v>
      </c>
    </row>
    <row r="34" spans="2:30" ht="15.75">
      <c r="B34" s="217"/>
      <c r="C34" s="215" t="s">
        <v>243</v>
      </c>
      <c r="D34" s="176" t="s">
        <v>372</v>
      </c>
      <c r="F34" s="216"/>
      <c r="G34" s="193"/>
      <c r="H34" s="193"/>
      <c r="I34" s="180">
        <v>0</v>
      </c>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 t="shared" si="0"/>
        <v>0</v>
      </c>
      <c r="AD34" s="191">
        <v>0</v>
      </c>
    </row>
    <row r="35" spans="2:32" ht="15">
      <c r="B35" s="217"/>
      <c r="C35" s="221" t="s">
        <v>373</v>
      </c>
      <c r="F35" s="216"/>
      <c r="G35" s="193"/>
      <c r="H35" s="198">
        <v>0</v>
      </c>
      <c r="I35" s="198">
        <f>SUM(I32:I34)</f>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199">
        <f>SUM(AD32:AD34)</f>
        <v>28182000</v>
      </c>
      <c r="AF35" s="192"/>
    </row>
    <row r="36" spans="2:30" ht="15">
      <c r="B36" s="217"/>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181"/>
      <c r="AD36" s="181"/>
    </row>
    <row r="37" spans="2:31" ht="15.75">
      <c r="B37" s="214" t="s">
        <v>195</v>
      </c>
      <c r="C37" s="371" t="s">
        <v>379</v>
      </c>
      <c r="D37" s="154"/>
      <c r="E37" s="225"/>
      <c r="F37" s="216"/>
      <c r="G37" s="193"/>
      <c r="H37" s="181">
        <f>+H30-H35</f>
        <v>264969</v>
      </c>
      <c r="I37" s="181">
        <f>+I30-I35</f>
        <v>476694</v>
      </c>
      <c r="J37" s="181">
        <f>+J30-J35</f>
        <v>-2666290.4499999993</v>
      </c>
      <c r="K37" s="181">
        <f>+K30-K35</f>
        <v>-2805630</v>
      </c>
      <c r="L37" s="181">
        <f>+L30-L35</f>
        <v>-4803177</v>
      </c>
      <c r="M37" s="181"/>
      <c r="N37" s="181"/>
      <c r="O37" s="181"/>
      <c r="P37" s="181"/>
      <c r="Q37" s="181"/>
      <c r="R37" s="181"/>
      <c r="S37" s="181"/>
      <c r="T37" s="181"/>
      <c r="U37" s="181"/>
      <c r="V37" s="181"/>
      <c r="W37" s="181"/>
      <c r="X37" s="181"/>
      <c r="Y37" s="181"/>
      <c r="Z37" s="181"/>
      <c r="AA37" s="181"/>
      <c r="AB37" s="175">
        <f>+H37+J37+L37+N37+P37+R37+T37+V37+X37+Z37</f>
        <v>-7204498.449999999</v>
      </c>
      <c r="AC37" s="175">
        <f>+I37+K37+M37+O37+Q37+S37+U37+W37+Y37+AA37</f>
        <v>-2328936</v>
      </c>
      <c r="AD37" s="181" t="e">
        <f>+AD30-AD35</f>
        <v>#REF!</v>
      </c>
      <c r="AE37" s="192"/>
    </row>
    <row r="38" spans="2:30" ht="15.75">
      <c r="B38" s="214" t="s">
        <v>196</v>
      </c>
      <c r="C38" s="154" t="s">
        <v>380</v>
      </c>
      <c r="D38" s="215"/>
      <c r="E38" s="225"/>
      <c r="F38" s="216"/>
      <c r="G38" s="193"/>
      <c r="H38" s="193"/>
      <c r="I38" s="180">
        <v>0</v>
      </c>
      <c r="J38" s="180"/>
      <c r="K38" s="180">
        <v>0</v>
      </c>
      <c r="L38" s="180"/>
      <c r="M38" s="180"/>
      <c r="N38" s="180"/>
      <c r="O38" s="180"/>
      <c r="P38" s="180"/>
      <c r="Q38" s="180"/>
      <c r="R38" s="180"/>
      <c r="S38" s="180"/>
      <c r="T38" s="180"/>
      <c r="U38" s="180"/>
      <c r="V38" s="180"/>
      <c r="W38" s="180"/>
      <c r="X38" s="180"/>
      <c r="Y38" s="180"/>
      <c r="Z38" s="180"/>
      <c r="AA38" s="180"/>
      <c r="AB38" s="175">
        <f>H38+J38+L38+N38+P38+R38+T38+X38+Z38</f>
        <v>0</v>
      </c>
      <c r="AC38" s="175">
        <f t="shared" si="0"/>
        <v>0</v>
      </c>
      <c r="AD38" s="191">
        <v>0</v>
      </c>
    </row>
    <row r="39" spans="2:30" ht="15.75">
      <c r="B39" s="214" t="s">
        <v>197</v>
      </c>
      <c r="C39" s="154" t="s">
        <v>381</v>
      </c>
      <c r="D39" s="215"/>
      <c r="E39" s="225"/>
      <c r="F39" s="216"/>
      <c r="G39" s="193"/>
      <c r="H39" s="193"/>
      <c r="I39" s="180">
        <v>0</v>
      </c>
      <c r="J39" s="180"/>
      <c r="K39" s="180">
        <v>0</v>
      </c>
      <c r="L39" s="180"/>
      <c r="M39" s="180"/>
      <c r="N39" s="180"/>
      <c r="O39" s="180"/>
      <c r="P39" s="180"/>
      <c r="Q39" s="180"/>
      <c r="R39" s="180"/>
      <c r="S39" s="180"/>
      <c r="T39" s="180"/>
      <c r="U39" s="180"/>
      <c r="V39" s="180"/>
      <c r="W39" s="180"/>
      <c r="X39" s="180"/>
      <c r="Y39" s="180"/>
      <c r="Z39" s="180"/>
      <c r="AA39" s="180"/>
      <c r="AB39" s="175">
        <f>H39+J39+L39+N39+P39+R39+T39+X39+Z39</f>
        <v>0</v>
      </c>
      <c r="AC39" s="175">
        <f t="shared" si="0"/>
        <v>0</v>
      </c>
      <c r="AD39" s="191">
        <v>0</v>
      </c>
    </row>
    <row r="40" spans="2:30" ht="15.75">
      <c r="B40" s="214" t="s">
        <v>198</v>
      </c>
      <c r="C40" s="154" t="s">
        <v>382</v>
      </c>
      <c r="D40" s="215"/>
      <c r="E40" s="225"/>
      <c r="F40" s="216"/>
      <c r="G40" s="193"/>
      <c r="H40" s="193"/>
      <c r="I40" s="180">
        <v>0</v>
      </c>
      <c r="J40" s="180"/>
      <c r="K40" s="180">
        <v>0</v>
      </c>
      <c r="L40" s="180"/>
      <c r="M40" s="180"/>
      <c r="N40" s="180"/>
      <c r="O40" s="180"/>
      <c r="P40" s="180"/>
      <c r="Q40" s="180"/>
      <c r="R40" s="180"/>
      <c r="S40" s="180"/>
      <c r="T40" s="180"/>
      <c r="U40" s="180"/>
      <c r="V40" s="180"/>
      <c r="W40" s="180"/>
      <c r="X40" s="180"/>
      <c r="Y40" s="180"/>
      <c r="Z40" s="180"/>
      <c r="AA40" s="180"/>
      <c r="AB40" s="175">
        <f>H40+J40+L40+N40+P40+R40+T40+X40+Z40</f>
        <v>0</v>
      </c>
      <c r="AC40" s="175">
        <f t="shared" si="0"/>
        <v>0</v>
      </c>
      <c r="AD40" s="191">
        <v>0</v>
      </c>
    </row>
    <row r="41" spans="2:30" ht="16.5" thickBot="1">
      <c r="B41" s="214" t="s">
        <v>199</v>
      </c>
      <c r="C41" s="154" t="s">
        <v>383</v>
      </c>
      <c r="D41" s="225"/>
      <c r="E41" s="225"/>
      <c r="F41" s="216"/>
      <c r="G41" s="193"/>
      <c r="H41" s="200">
        <f>+H37+H40</f>
        <v>264969</v>
      </c>
      <c r="I41" s="200">
        <f>+I37+I40</f>
        <v>476694</v>
      </c>
      <c r="J41" s="200">
        <f>+J37+J40</f>
        <v>-2666290.4499999993</v>
      </c>
      <c r="K41" s="200">
        <f>+K37+K40</f>
        <v>-2805630</v>
      </c>
      <c r="L41" s="384">
        <f>+L37+L40</f>
        <v>-4803177</v>
      </c>
      <c r="M41" s="399"/>
      <c r="N41" s="399"/>
      <c r="O41" s="399"/>
      <c r="P41" s="399"/>
      <c r="Q41" s="399"/>
      <c r="R41" s="399"/>
      <c r="S41" s="399"/>
      <c r="T41" s="399"/>
      <c r="U41" s="399"/>
      <c r="V41" s="399"/>
      <c r="W41" s="399"/>
      <c r="X41" s="399"/>
      <c r="Y41" s="399"/>
      <c r="Z41" s="399"/>
      <c r="AA41" s="399"/>
      <c r="AB41" s="388">
        <f>+H41+J41+L41+N41+P41+R41+T41+V41+X41+Z41</f>
        <v>-7204498.449999999</v>
      </c>
      <c r="AC41" s="372">
        <f>+I41+K41+M41+O41+Q41+S41+U41+W41+Y41+AA41</f>
        <v>-2328936</v>
      </c>
      <c r="AD41" s="201" t="e">
        <f>+AD37+AD40</f>
        <v>#REF!</v>
      </c>
    </row>
    <row r="42" spans="2:29" ht="16.5" thickTop="1">
      <c r="B42" s="214" t="s">
        <v>200</v>
      </c>
      <c r="C42" s="154" t="s">
        <v>384</v>
      </c>
      <c r="D42" s="223"/>
      <c r="E42" s="22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25"/>
      <c r="C43" s="215" t="s">
        <v>241</v>
      </c>
      <c r="D43" s="22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25"/>
      <c r="C44" s="215" t="s">
        <v>242</v>
      </c>
      <c r="D44" s="225" t="s">
        <v>386</v>
      </c>
      <c r="E44" s="225"/>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226" t="s">
        <v>188</v>
      </c>
      <c r="C46" s="226"/>
      <c r="D46" s="227"/>
      <c r="E46" s="228"/>
      <c r="F46" s="228"/>
      <c r="G46" s="217"/>
      <c r="H46" s="217"/>
      <c r="I46" s="374"/>
      <c r="J46" s="374"/>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6" t="s">
        <v>396</v>
      </c>
      <c r="C47" s="546"/>
      <c r="D47" s="546"/>
      <c r="E47" s="546"/>
      <c r="F47" s="546"/>
      <c r="G47" s="548" t="s">
        <v>395</v>
      </c>
      <c r="H47" s="205"/>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7"/>
      <c r="C48" s="547"/>
      <c r="D48" s="547"/>
      <c r="E48" s="547"/>
      <c r="F48" s="547"/>
      <c r="G48" s="548"/>
      <c r="H48" s="205"/>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376"/>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155"/>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235"/>
      <c r="B51" s="355"/>
      <c r="C51" s="356"/>
      <c r="D51" s="237"/>
      <c r="E51" s="238"/>
      <c r="F51" s="208"/>
      <c r="G51" s="208"/>
      <c r="H51" s="208"/>
      <c r="I51" s="208"/>
      <c r="J51" s="208"/>
      <c r="K51" s="208"/>
      <c r="L51" s="208"/>
      <c r="M51" s="208"/>
      <c r="N51" s="208"/>
      <c r="O51" s="356"/>
      <c r="P51" s="356"/>
      <c r="Q51" s="356"/>
      <c r="R51" s="356"/>
      <c r="S51" s="356"/>
      <c r="T51" s="356"/>
      <c r="U51" s="356"/>
      <c r="V51" s="356"/>
      <c r="W51" s="356"/>
      <c r="X51" s="356"/>
      <c r="Y51" s="356"/>
      <c r="Z51" s="356"/>
      <c r="AA51" s="356"/>
      <c r="AB51" s="356"/>
      <c r="AC51" s="356"/>
      <c r="AD51" s="356"/>
      <c r="AE51" s="377"/>
    </row>
    <row r="52" spans="1:31" ht="15">
      <c r="A52" s="239"/>
      <c r="B52" s="264"/>
      <c r="C52" s="237"/>
      <c r="D52" s="236"/>
      <c r="E52" s="238"/>
      <c r="F52" s="208"/>
      <c r="G52" s="208"/>
      <c r="H52" s="208"/>
      <c r="I52" s="208"/>
      <c r="J52" s="208"/>
      <c r="K52" s="208"/>
      <c r="L52" s="208"/>
      <c r="M52" s="208"/>
      <c r="N52" s="208"/>
      <c r="O52" s="356"/>
      <c r="P52" s="356"/>
      <c r="Q52" s="356"/>
      <c r="R52" s="356"/>
      <c r="S52" s="356"/>
      <c r="T52" s="356"/>
      <c r="U52" s="356"/>
      <c r="V52" s="356"/>
      <c r="W52" s="356"/>
      <c r="X52" s="356"/>
      <c r="Y52" s="356"/>
      <c r="Z52" s="356"/>
      <c r="AA52" s="356"/>
      <c r="AB52" s="356"/>
      <c r="AC52" s="356"/>
      <c r="AD52" s="356"/>
      <c r="AE52" s="377"/>
    </row>
    <row r="53" spans="1:31" ht="15.75">
      <c r="A53" s="155"/>
      <c r="B53" s="264"/>
      <c r="C53" s="237"/>
      <c r="D53" s="236"/>
      <c r="E53" s="238"/>
      <c r="F53" s="208"/>
      <c r="G53" s="208"/>
      <c r="H53" s="208"/>
      <c r="I53" s="208"/>
      <c r="J53" s="208"/>
      <c r="K53" s="208"/>
      <c r="L53" s="208"/>
      <c r="M53" s="208"/>
      <c r="N53" s="208"/>
      <c r="O53" s="356"/>
      <c r="P53" s="356"/>
      <c r="Q53" s="356"/>
      <c r="R53" s="356"/>
      <c r="S53" s="356"/>
      <c r="T53" s="356"/>
      <c r="U53" s="356"/>
      <c r="V53" s="356"/>
      <c r="W53" s="356"/>
      <c r="X53" s="356"/>
      <c r="Y53" s="356"/>
      <c r="Z53" s="356"/>
      <c r="AA53" s="356"/>
      <c r="AB53" s="356"/>
      <c r="AC53" s="356"/>
      <c r="AD53" s="356"/>
      <c r="AE53" s="377"/>
    </row>
    <row r="54" spans="1:31" ht="15.75">
      <c r="A54" s="155"/>
      <c r="B54" s="261"/>
      <c r="C54" s="237"/>
      <c r="D54" s="236"/>
      <c r="E54" s="238"/>
      <c r="F54" s="208"/>
      <c r="G54" s="208"/>
      <c r="H54" s="208"/>
      <c r="I54" s="208"/>
      <c r="J54" s="208"/>
      <c r="K54" s="208"/>
      <c r="L54" s="208"/>
      <c r="M54" s="208"/>
      <c r="N54" s="208"/>
      <c r="O54" s="357"/>
      <c r="P54" s="357"/>
      <c r="Q54" s="357"/>
      <c r="R54" s="357"/>
      <c r="S54" s="357"/>
      <c r="T54" s="357"/>
      <c r="U54" s="357"/>
      <c r="V54" s="357"/>
      <c r="W54" s="357"/>
      <c r="X54" s="357"/>
      <c r="Y54" s="357"/>
      <c r="Z54" s="357"/>
      <c r="AA54" s="357"/>
      <c r="AB54" s="357"/>
      <c r="AC54" s="357"/>
      <c r="AD54" s="357"/>
      <c r="AE54" s="378"/>
    </row>
    <row r="55" spans="1:30" ht="15">
      <c r="A55" s="188"/>
      <c r="B55" s="211"/>
      <c r="C55" s="357"/>
      <c r="D55" s="237"/>
      <c r="E55" s="211"/>
      <c r="F55" s="208"/>
      <c r="G55" s="209"/>
      <c r="H55" s="209"/>
      <c r="I55" s="209"/>
      <c r="J55" s="209"/>
      <c r="K55" s="209"/>
      <c r="L55" s="209"/>
      <c r="M55" s="210"/>
      <c r="N55" s="210"/>
      <c r="O55" s="359"/>
      <c r="P55" s="359"/>
      <c r="Q55" s="359"/>
      <c r="R55" s="359"/>
      <c r="S55" s="359"/>
      <c r="T55" s="359"/>
      <c r="U55" s="359"/>
      <c r="V55" s="359"/>
      <c r="W55" s="359"/>
      <c r="X55" s="359"/>
      <c r="Y55" s="359"/>
      <c r="Z55" s="359"/>
      <c r="AA55" s="359"/>
      <c r="AB55" s="359"/>
      <c r="AC55" s="359"/>
      <c r="AD55" s="211" t="s">
        <v>190</v>
      </c>
    </row>
    <row r="56" spans="1:30" ht="15">
      <c r="A56" s="379"/>
      <c r="B56" s="358"/>
      <c r="C56" s="359"/>
      <c r="D56" s="237"/>
      <c r="E56" s="211"/>
      <c r="G56" s="209"/>
      <c r="H56" s="209"/>
      <c r="I56" s="209"/>
      <c r="J56" s="209"/>
      <c r="K56" s="209"/>
      <c r="L56" s="209"/>
      <c r="M56" s="210"/>
      <c r="N56" s="210"/>
      <c r="O56" s="359"/>
      <c r="P56" s="359"/>
      <c r="Q56" s="359"/>
      <c r="R56" s="359"/>
      <c r="S56" s="359"/>
      <c r="T56" s="359"/>
      <c r="U56" s="359"/>
      <c r="V56" s="359"/>
      <c r="W56" s="359"/>
      <c r="X56" s="359"/>
      <c r="Y56" s="359"/>
      <c r="Z56" s="359"/>
      <c r="AA56" s="359"/>
      <c r="AB56" s="359"/>
      <c r="AC56" s="359"/>
      <c r="AD56" s="212" t="s">
        <v>191</v>
      </c>
    </row>
    <row r="57" spans="1:31" ht="15.75">
      <c r="A57" s="154"/>
      <c r="B57" s="261"/>
      <c r="C57" s="237"/>
      <c r="D57" s="212"/>
      <c r="E57" s="211"/>
      <c r="F57" s="210"/>
      <c r="G57" s="212"/>
      <c r="H57" s="212"/>
      <c r="I57" s="212"/>
      <c r="J57" s="212"/>
      <c r="K57" s="210"/>
      <c r="L57" s="210"/>
      <c r="M57" s="212"/>
      <c r="N57" s="212"/>
      <c r="O57" s="357"/>
      <c r="P57" s="357"/>
      <c r="Q57" s="357"/>
      <c r="R57" s="357"/>
      <c r="S57" s="357"/>
      <c r="T57" s="357"/>
      <c r="U57" s="357"/>
      <c r="V57" s="357"/>
      <c r="W57" s="357"/>
      <c r="X57" s="357"/>
      <c r="Y57" s="357"/>
      <c r="Z57" s="357"/>
      <c r="AA57" s="357"/>
      <c r="AB57" s="357"/>
      <c r="AC57" s="357"/>
      <c r="AD57" s="357"/>
      <c r="AE57" s="378"/>
    </row>
    <row r="58" spans="2:31" ht="15">
      <c r="B58" s="261"/>
      <c r="C58" s="237"/>
      <c r="D58" s="212"/>
      <c r="E58" s="211"/>
      <c r="F58" s="210"/>
      <c r="G58" s="212"/>
      <c r="H58" s="212"/>
      <c r="I58" s="212"/>
      <c r="J58" s="212"/>
      <c r="K58" s="210"/>
      <c r="L58" s="210"/>
      <c r="M58" s="212"/>
      <c r="N58" s="212"/>
      <c r="O58" s="357"/>
      <c r="P58" s="357"/>
      <c r="Q58" s="357"/>
      <c r="R58" s="357"/>
      <c r="S58" s="357"/>
      <c r="T58" s="357"/>
      <c r="U58" s="357"/>
      <c r="V58" s="357"/>
      <c r="W58" s="357"/>
      <c r="X58" s="357"/>
      <c r="Y58" s="357"/>
      <c r="Z58" s="357"/>
      <c r="AA58" s="357"/>
      <c r="AB58" s="357"/>
      <c r="AC58" s="357"/>
      <c r="AD58" s="357"/>
      <c r="AE58" s="378"/>
    </row>
    <row r="59" spans="2:31" ht="15">
      <c r="B59" s="261"/>
      <c r="C59" s="237"/>
      <c r="D59" s="236"/>
      <c r="E59" s="212"/>
      <c r="F59" s="212"/>
      <c r="G59" s="212"/>
      <c r="H59" s="212"/>
      <c r="I59" s="212"/>
      <c r="J59" s="212"/>
      <c r="K59" s="212"/>
      <c r="L59" s="212"/>
      <c r="M59" s="212"/>
      <c r="N59" s="212"/>
      <c r="O59" s="357"/>
      <c r="P59" s="357"/>
      <c r="Q59" s="357"/>
      <c r="R59" s="357"/>
      <c r="S59" s="357"/>
      <c r="T59" s="357"/>
      <c r="U59" s="357"/>
      <c r="V59" s="357"/>
      <c r="W59" s="357"/>
      <c r="X59" s="357"/>
      <c r="Y59" s="357"/>
      <c r="Z59" s="357"/>
      <c r="AA59" s="357"/>
      <c r="AB59" s="357"/>
      <c r="AC59" s="357"/>
      <c r="AD59" s="357"/>
      <c r="AE59" s="378"/>
    </row>
    <row r="60" spans="2:31" ht="15">
      <c r="B60" s="236"/>
      <c r="C60" s="237"/>
      <c r="E60" s="238"/>
      <c r="F60" s="208"/>
      <c r="G60" s="208"/>
      <c r="H60" s="208"/>
      <c r="I60" s="208"/>
      <c r="J60" s="208"/>
      <c r="K60" s="208"/>
      <c r="L60" s="208"/>
      <c r="M60" s="208"/>
      <c r="N60" s="208"/>
      <c r="O60" s="357"/>
      <c r="P60" s="357"/>
      <c r="Q60" s="357"/>
      <c r="R60" s="357"/>
      <c r="S60" s="357"/>
      <c r="T60" s="357"/>
      <c r="U60" s="357"/>
      <c r="V60" s="357"/>
      <c r="W60" s="357"/>
      <c r="X60" s="357"/>
      <c r="Y60" s="357"/>
      <c r="Z60" s="357"/>
      <c r="AA60" s="357"/>
      <c r="AB60" s="357"/>
      <c r="AC60" s="357"/>
      <c r="AD60" s="357"/>
      <c r="AE60" s="378"/>
    </row>
    <row r="61" spans="2:31" ht="15">
      <c r="B61" s="236"/>
      <c r="C61" s="237"/>
      <c r="E61" s="238"/>
      <c r="F61" s="208"/>
      <c r="G61" s="208"/>
      <c r="H61" s="208"/>
      <c r="I61" s="208"/>
      <c r="J61" s="208"/>
      <c r="K61" s="208"/>
      <c r="L61" s="208"/>
      <c r="M61" s="208"/>
      <c r="N61" s="208"/>
      <c r="O61" s="357"/>
      <c r="P61" s="357"/>
      <c r="Q61" s="357"/>
      <c r="R61" s="357"/>
      <c r="S61" s="357"/>
      <c r="T61" s="357"/>
      <c r="U61" s="357"/>
      <c r="V61" s="357"/>
      <c r="W61" s="357"/>
      <c r="X61" s="357"/>
      <c r="Y61" s="357"/>
      <c r="Z61" s="357"/>
      <c r="AA61" s="357"/>
      <c r="AB61" s="357"/>
      <c r="AC61" s="357"/>
      <c r="AD61" s="357"/>
      <c r="AE61" s="378"/>
    </row>
    <row r="62" spans="2:31" ht="15">
      <c r="B62" s="236"/>
      <c r="C62" s="237"/>
      <c r="E62" s="240"/>
      <c r="F62" s="208"/>
      <c r="G62" s="212"/>
      <c r="H62" s="212"/>
      <c r="I62" s="212"/>
      <c r="J62" s="212"/>
      <c r="K62" s="208"/>
      <c r="L62" s="208"/>
      <c r="M62" s="208"/>
      <c r="N62" s="208"/>
      <c r="O62" s="357"/>
      <c r="P62" s="357"/>
      <c r="Q62" s="357"/>
      <c r="R62" s="357"/>
      <c r="S62" s="357"/>
      <c r="T62" s="357"/>
      <c r="U62" s="357"/>
      <c r="V62" s="357"/>
      <c r="W62" s="357"/>
      <c r="X62" s="357"/>
      <c r="Y62" s="357"/>
      <c r="Z62" s="357"/>
      <c r="AA62" s="357"/>
      <c r="AB62" s="357"/>
      <c r="AC62" s="357"/>
      <c r="AD62" s="357"/>
      <c r="AE62" s="378"/>
    </row>
    <row r="63" spans="2:31" ht="15">
      <c r="B63" s="236"/>
      <c r="C63" s="237"/>
      <c r="E63" s="240"/>
      <c r="F63" s="208"/>
      <c r="G63" s="212"/>
      <c r="H63" s="212"/>
      <c r="I63" s="212"/>
      <c r="J63" s="212"/>
      <c r="K63" s="208"/>
      <c r="L63" s="208"/>
      <c r="M63" s="208"/>
      <c r="N63" s="208"/>
      <c r="O63" s="357"/>
      <c r="P63" s="357"/>
      <c r="Q63" s="357"/>
      <c r="R63" s="357"/>
      <c r="S63" s="357"/>
      <c r="T63" s="357"/>
      <c r="U63" s="357"/>
      <c r="V63" s="357"/>
      <c r="W63" s="357"/>
      <c r="X63" s="357"/>
      <c r="Y63" s="357"/>
      <c r="Z63" s="357"/>
      <c r="AA63" s="357"/>
      <c r="AB63" s="357"/>
      <c r="AC63" s="357"/>
      <c r="AD63" s="357"/>
      <c r="AE63" s="378"/>
    </row>
    <row r="64" spans="2:31" ht="15">
      <c r="B64" s="237"/>
      <c r="C64" s="236"/>
      <c r="E64" s="240"/>
      <c r="F64" s="208"/>
      <c r="G64" s="212"/>
      <c r="H64" s="212"/>
      <c r="I64" s="212"/>
      <c r="J64" s="212"/>
      <c r="K64" s="208"/>
      <c r="L64" s="208"/>
      <c r="M64" s="208"/>
      <c r="N64" s="208"/>
      <c r="O64" s="357"/>
      <c r="P64" s="357"/>
      <c r="Q64" s="357"/>
      <c r="R64" s="357"/>
      <c r="S64" s="357"/>
      <c r="T64" s="357"/>
      <c r="U64" s="357"/>
      <c r="V64" s="357"/>
      <c r="W64" s="357"/>
      <c r="X64" s="357"/>
      <c r="Y64" s="357"/>
      <c r="Z64" s="357"/>
      <c r="AA64" s="357"/>
      <c r="AB64" s="357"/>
      <c r="AC64" s="357"/>
      <c r="AD64" s="357"/>
      <c r="AE64" s="378"/>
    </row>
    <row r="65" spans="2:31" ht="15">
      <c r="B65" s="237"/>
      <c r="C65" s="236"/>
      <c r="E65" s="240"/>
      <c r="F65" s="208"/>
      <c r="G65" s="212"/>
      <c r="H65" s="212"/>
      <c r="I65" s="212"/>
      <c r="J65" s="212"/>
      <c r="K65" s="208"/>
      <c r="L65" s="208"/>
      <c r="M65" s="208"/>
      <c r="N65" s="208"/>
      <c r="O65" s="357"/>
      <c r="P65" s="357"/>
      <c r="Q65" s="357"/>
      <c r="R65" s="357"/>
      <c r="S65" s="357"/>
      <c r="T65" s="357"/>
      <c r="U65" s="357"/>
      <c r="V65" s="357"/>
      <c r="W65" s="357"/>
      <c r="X65" s="357"/>
      <c r="Y65" s="357"/>
      <c r="Z65" s="357"/>
      <c r="AA65" s="357"/>
      <c r="AB65" s="357"/>
      <c r="AC65" s="357"/>
      <c r="AD65" s="357"/>
      <c r="AE65" s="378"/>
    </row>
    <row r="66" spans="2:31" ht="15">
      <c r="B66" s="237"/>
      <c r="C66" s="236"/>
      <c r="E66" s="238"/>
      <c r="F66" s="208"/>
      <c r="G66" s="208"/>
      <c r="H66" s="208"/>
      <c r="I66" s="208"/>
      <c r="J66" s="208"/>
      <c r="K66" s="208"/>
      <c r="L66" s="208"/>
      <c r="M66" s="208"/>
      <c r="N66" s="208"/>
      <c r="O66" s="357"/>
      <c r="P66" s="357"/>
      <c r="Q66" s="357"/>
      <c r="R66" s="357"/>
      <c r="S66" s="357"/>
      <c r="T66" s="357"/>
      <c r="U66" s="357"/>
      <c r="V66" s="357"/>
      <c r="W66" s="357"/>
      <c r="X66" s="357"/>
      <c r="Y66" s="357"/>
      <c r="Z66" s="357"/>
      <c r="AA66" s="357"/>
      <c r="AB66" s="357"/>
      <c r="AC66" s="357"/>
      <c r="AD66" s="357"/>
      <c r="AE66" s="378"/>
    </row>
    <row r="67" spans="2:31" ht="15">
      <c r="B67" s="237"/>
      <c r="C67" s="241"/>
      <c r="E67" s="238"/>
      <c r="F67" s="210"/>
      <c r="G67" s="210"/>
      <c r="H67" s="210"/>
      <c r="I67" s="210"/>
      <c r="J67" s="210"/>
      <c r="K67" s="210"/>
      <c r="L67" s="210"/>
      <c r="M67" s="210"/>
      <c r="N67" s="210"/>
      <c r="O67" s="359"/>
      <c r="P67" s="359"/>
      <c r="Q67" s="359"/>
      <c r="R67" s="359"/>
      <c r="S67" s="359"/>
      <c r="T67" s="359"/>
      <c r="U67" s="359"/>
      <c r="V67" s="359"/>
      <c r="W67" s="359"/>
      <c r="X67" s="359"/>
      <c r="Y67" s="359"/>
      <c r="Z67" s="359"/>
      <c r="AA67" s="359"/>
      <c r="AB67" s="359"/>
      <c r="AC67" s="359"/>
      <c r="AD67" s="359"/>
      <c r="AE67" s="380"/>
    </row>
    <row r="68" spans="2:31" ht="15">
      <c r="B68" s="237"/>
      <c r="C68" s="242"/>
      <c r="E68" s="238"/>
      <c r="F68" s="210"/>
      <c r="G68" s="210"/>
      <c r="H68" s="210"/>
      <c r="I68" s="210"/>
      <c r="J68" s="210"/>
      <c r="K68" s="210"/>
      <c r="L68" s="210"/>
      <c r="M68" s="210"/>
      <c r="N68" s="210"/>
      <c r="O68" s="359"/>
      <c r="P68" s="359"/>
      <c r="Q68" s="359"/>
      <c r="R68" s="359"/>
      <c r="S68" s="359"/>
      <c r="T68" s="359"/>
      <c r="U68" s="359"/>
      <c r="V68" s="359"/>
      <c r="W68" s="359"/>
      <c r="X68" s="359"/>
      <c r="Y68" s="359"/>
      <c r="Z68" s="359"/>
      <c r="AA68" s="359"/>
      <c r="AB68" s="359"/>
      <c r="AC68" s="359"/>
      <c r="AD68" s="359"/>
      <c r="AE68" s="380"/>
    </row>
    <row r="69" spans="2:31" ht="15">
      <c r="B69" s="237"/>
      <c r="C69" s="236"/>
      <c r="E69" s="238"/>
      <c r="F69" s="210"/>
      <c r="G69" s="210"/>
      <c r="H69" s="210"/>
      <c r="I69" s="210"/>
      <c r="J69" s="210"/>
      <c r="K69" s="210"/>
      <c r="L69" s="210"/>
      <c r="M69" s="210"/>
      <c r="N69" s="210"/>
      <c r="O69" s="359"/>
      <c r="P69" s="359"/>
      <c r="Q69" s="359"/>
      <c r="R69" s="359"/>
      <c r="S69" s="359"/>
      <c r="T69" s="359"/>
      <c r="U69" s="359"/>
      <c r="V69" s="359"/>
      <c r="W69" s="359"/>
      <c r="X69" s="359"/>
      <c r="Y69" s="359"/>
      <c r="Z69" s="359"/>
      <c r="AA69" s="359"/>
      <c r="AB69" s="359"/>
      <c r="AC69" s="359"/>
      <c r="AD69" s="359"/>
      <c r="AE69" s="380"/>
    </row>
    <row r="70" spans="2:31" ht="15">
      <c r="B70" s="237"/>
      <c r="C70" s="236"/>
      <c r="E70" s="238"/>
      <c r="F70" s="210"/>
      <c r="G70" s="210"/>
      <c r="H70" s="210"/>
      <c r="I70" s="210"/>
      <c r="J70" s="210"/>
      <c r="K70" s="210"/>
      <c r="L70" s="210"/>
      <c r="M70" s="210"/>
      <c r="N70" s="210"/>
      <c r="O70" s="359"/>
      <c r="P70" s="359"/>
      <c r="Q70" s="359"/>
      <c r="R70" s="359"/>
      <c r="S70" s="359"/>
      <c r="T70" s="359"/>
      <c r="U70" s="359"/>
      <c r="V70" s="359"/>
      <c r="W70" s="359"/>
      <c r="X70" s="359"/>
      <c r="Y70" s="359"/>
      <c r="Z70" s="359"/>
      <c r="AA70" s="359"/>
      <c r="AB70" s="359"/>
      <c r="AC70" s="359"/>
      <c r="AD70" s="359"/>
      <c r="AE70" s="380"/>
    </row>
    <row r="71" spans="2:31" ht="15">
      <c r="B71" s="236"/>
      <c r="C71" s="237"/>
      <c r="E71" s="238"/>
      <c r="F71" s="210"/>
      <c r="G71" s="210"/>
      <c r="H71" s="210"/>
      <c r="I71" s="210"/>
      <c r="J71" s="210"/>
      <c r="K71" s="210"/>
      <c r="L71" s="210"/>
      <c r="M71" s="210"/>
      <c r="N71" s="210"/>
      <c r="O71" s="359"/>
      <c r="P71" s="359"/>
      <c r="Q71" s="359"/>
      <c r="R71" s="359"/>
      <c r="S71" s="359"/>
      <c r="T71" s="359"/>
      <c r="U71" s="359"/>
      <c r="V71" s="359"/>
      <c r="W71" s="359"/>
      <c r="X71" s="359"/>
      <c r="Y71" s="359"/>
      <c r="Z71" s="359"/>
      <c r="AA71" s="359"/>
      <c r="AB71" s="359"/>
      <c r="AC71" s="359"/>
      <c r="AD71" s="359"/>
      <c r="AE71" s="380"/>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20.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408</v>
      </c>
      <c r="I6" s="514" t="s">
        <v>408</v>
      </c>
      <c r="J6" s="514" t="s">
        <v>408</v>
      </c>
      <c r="K6" s="514" t="s">
        <v>408</v>
      </c>
      <c r="L6" s="514" t="s">
        <v>408</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75">
        <v>5934985</v>
      </c>
      <c r="I9" s="175">
        <v>0</v>
      </c>
      <c r="J9" s="175">
        <v>2092762</v>
      </c>
      <c r="K9" s="175">
        <v>1870285</v>
      </c>
      <c r="L9" s="175">
        <v>1352115</v>
      </c>
      <c r="M9" s="175"/>
      <c r="N9" s="175"/>
      <c r="O9" s="175"/>
      <c r="P9" s="175"/>
      <c r="Q9" s="175"/>
      <c r="R9" s="175"/>
      <c r="S9" s="175"/>
      <c r="T9" s="175"/>
      <c r="U9" s="175"/>
      <c r="V9" s="175"/>
      <c r="W9" s="175"/>
      <c r="X9" s="175"/>
      <c r="Y9" s="175"/>
      <c r="Z9" s="175"/>
      <c r="AA9" s="175"/>
      <c r="AB9" s="175">
        <f>+H9+J9+L9+N9+P9+R9+T9+V9+X9+Z9</f>
        <v>9379862</v>
      </c>
      <c r="AC9" s="175">
        <f>+I9+K9+M9+O9+Q9+S9+U9+W9+Y9+AA9</f>
        <v>1870285</v>
      </c>
      <c r="AD9" s="191" t="e">
        <f>#REF!</f>
        <v>#REF!</v>
      </c>
      <c r="AE9" s="192"/>
    </row>
    <row r="10" spans="2:31" ht="15.75">
      <c r="B10" s="260" t="s">
        <v>259</v>
      </c>
      <c r="C10" s="32" t="s">
        <v>357</v>
      </c>
      <c r="D10" s="260"/>
      <c r="E10" s="32"/>
      <c r="F10" s="368"/>
      <c r="G10" s="193" t="s">
        <v>180</v>
      </c>
      <c r="H10" s="175">
        <v>497582090</v>
      </c>
      <c r="I10" s="175">
        <v>283612329</v>
      </c>
      <c r="J10" s="175">
        <v>208902120</v>
      </c>
      <c r="K10" s="175">
        <v>162237961</v>
      </c>
      <c r="L10" s="175">
        <v>238454708</v>
      </c>
      <c r="M10" s="175"/>
      <c r="N10" s="175"/>
      <c r="O10" s="175"/>
      <c r="P10" s="175"/>
      <c r="Q10" s="175"/>
      <c r="R10" s="175"/>
      <c r="S10" s="175"/>
      <c r="T10" s="175"/>
      <c r="U10" s="175"/>
      <c r="V10" s="175"/>
      <c r="W10" s="175"/>
      <c r="X10" s="175"/>
      <c r="Y10" s="175"/>
      <c r="Z10" s="175"/>
      <c r="AA10" s="175"/>
      <c r="AB10" s="175">
        <f>+H10+J10+L10+N10+P10+R10+T10+V10+X10+Z10</f>
        <v>944938918</v>
      </c>
      <c r="AC10" s="175">
        <f>+I10+K10+M10+O10+Q10+S10+U10+W10+Y10+AA10</f>
        <v>445850290</v>
      </c>
      <c r="AD10" s="191" t="e">
        <f>#REF!</f>
        <v>#REF!</v>
      </c>
      <c r="AE10" s="192"/>
    </row>
    <row r="11" spans="2:29" ht="15.75">
      <c r="B11" s="260"/>
      <c r="C11" s="32"/>
      <c r="D11" s="260"/>
      <c r="E11" s="32"/>
      <c r="F11" s="368"/>
      <c r="G11" s="193"/>
      <c r="H11" s="194"/>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503517075</v>
      </c>
      <c r="I12" s="475">
        <v>283612329</v>
      </c>
      <c r="J12" s="475">
        <f>SUM(J9:J11)</f>
        <v>210994882</v>
      </c>
      <c r="K12" s="475">
        <f>SUM(K9:K11)</f>
        <v>164108246</v>
      </c>
      <c r="L12" s="476">
        <f>SUM(L9:L11)</f>
        <v>239806823</v>
      </c>
      <c r="M12" s="477"/>
      <c r="N12" s="477"/>
      <c r="O12" s="477"/>
      <c r="P12" s="477"/>
      <c r="Q12" s="477"/>
      <c r="R12" s="477"/>
      <c r="S12" s="477"/>
      <c r="T12" s="477"/>
      <c r="U12" s="477"/>
      <c r="V12" s="477"/>
      <c r="W12" s="477"/>
      <c r="X12" s="477"/>
      <c r="Y12" s="477"/>
      <c r="Z12" s="477"/>
      <c r="AA12" s="477"/>
      <c r="AB12" s="478">
        <f>+H12+J12+L12+N12+P12+R12+T12+V12+X12+Z12</f>
        <v>954318780</v>
      </c>
      <c r="AC12" s="479">
        <f>+I12+K12+M12+O12+Q12+S12+U12+W12+Y12+AA12</f>
        <v>447720575</v>
      </c>
      <c r="AD12" s="475" t="e">
        <f>SUM(AD9:AD11)</f>
        <v>#REF!</v>
      </c>
      <c r="AE12" s="192"/>
      <c r="AF12" s="192"/>
      <c r="AG12" s="192"/>
    </row>
    <row r="13" spans="2:29" ht="15.75">
      <c r="B13" s="260" t="s">
        <v>286</v>
      </c>
      <c r="C13" s="32" t="s">
        <v>359</v>
      </c>
      <c r="D13" s="32"/>
      <c r="E13" s="297"/>
      <c r="F13" s="202"/>
      <c r="G13" s="193"/>
      <c r="H13" s="175"/>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4101745</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4101745</v>
      </c>
      <c r="AC14" s="175">
        <f>I14+K14+M14+O14+Q14+S14+U14+Y14+AA14</f>
        <v>0</v>
      </c>
      <c r="AD14" s="191" t="e">
        <f>#REF!</f>
        <v>#REF!</v>
      </c>
      <c r="AF14" s="192"/>
    </row>
    <row r="15" spans="2:32" ht="15.75">
      <c r="B15" s="32"/>
      <c r="C15" s="249" t="s">
        <v>242</v>
      </c>
      <c r="D15" s="297" t="s">
        <v>361</v>
      </c>
      <c r="E15" s="297"/>
      <c r="F15" s="216"/>
      <c r="G15" s="193" t="s">
        <v>232</v>
      </c>
      <c r="H15" s="175"/>
      <c r="I15" s="175">
        <v>0</v>
      </c>
      <c r="J15" s="175">
        <v>1579068</v>
      </c>
      <c r="K15" s="175">
        <v>973947</v>
      </c>
      <c r="L15" s="175">
        <v>1143734</v>
      </c>
      <c r="M15" s="175"/>
      <c r="N15" s="175"/>
      <c r="O15" s="175"/>
      <c r="P15" s="175"/>
      <c r="Q15" s="175"/>
      <c r="R15" s="175"/>
      <c r="S15" s="175"/>
      <c r="T15" s="175"/>
      <c r="U15" s="175"/>
      <c r="V15" s="175"/>
      <c r="W15" s="175"/>
      <c r="X15" s="175"/>
      <c r="Y15" s="175"/>
      <c r="Z15" s="175"/>
      <c r="AA15" s="175"/>
      <c r="AB15" s="175">
        <f>+H15+J15+L15+N15+P15+R15+T15+V15+X15+Z15</f>
        <v>2722802</v>
      </c>
      <c r="AC15" s="175">
        <f>I15+K15+M15+O15+Q15+S15+U15+Y15+AA15+W15</f>
        <v>973947</v>
      </c>
      <c r="AD15" s="191">
        <v>7993970783.59</v>
      </c>
      <c r="AF15" s="192"/>
    </row>
    <row r="16" spans="2:32" ht="15.75" customHeight="1">
      <c r="B16" s="32"/>
      <c r="C16" s="249" t="s">
        <v>243</v>
      </c>
      <c r="D16" s="555" t="s">
        <v>374</v>
      </c>
      <c r="E16" s="555"/>
      <c r="F16" s="555"/>
      <c r="G16" s="550" t="s">
        <v>233</v>
      </c>
      <c r="H16" s="551"/>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32"/>
      <c r="C17" s="249"/>
      <c r="D17" s="555"/>
      <c r="E17" s="555"/>
      <c r="F17" s="555"/>
      <c r="G17" s="550"/>
      <c r="H17" s="551"/>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75">
        <v>169404325.06</v>
      </c>
      <c r="I18" s="175">
        <v>138339182</v>
      </c>
      <c r="J18" s="175">
        <v>103352144.9</v>
      </c>
      <c r="K18" s="175">
        <v>87597287</v>
      </c>
      <c r="L18" s="175">
        <v>211868015</v>
      </c>
      <c r="M18" s="175"/>
      <c r="N18" s="175"/>
      <c r="O18" s="175"/>
      <c r="P18" s="175"/>
      <c r="Q18" s="175"/>
      <c r="R18" s="175"/>
      <c r="S18" s="175"/>
      <c r="T18" s="175"/>
      <c r="U18" s="175"/>
      <c r="V18" s="175"/>
      <c r="W18" s="175"/>
      <c r="X18" s="175"/>
      <c r="Y18" s="175"/>
      <c r="Z18" s="175"/>
      <c r="AA18" s="175"/>
      <c r="AB18" s="175">
        <f>+H18+J18+L18+N18+P18+R18+T18+V18+X18+Z18</f>
        <v>484624484.96000004</v>
      </c>
      <c r="AC18" s="175">
        <f>+I18+K18+M18+O18+Q18+S18+U18+W18+Y18+AA18</f>
        <v>225936469</v>
      </c>
      <c r="AD18" s="175" t="e">
        <f>#REF!</f>
        <v>#REF!</v>
      </c>
      <c r="AE18" s="192"/>
      <c r="AF18" s="192"/>
    </row>
    <row r="19" spans="2:32" ht="15.75" customHeight="1">
      <c r="B19" s="32"/>
      <c r="C19" s="249" t="s">
        <v>274</v>
      </c>
      <c r="D19" s="297" t="s">
        <v>363</v>
      </c>
      <c r="E19" s="297"/>
      <c r="F19" s="216"/>
      <c r="G19" s="193"/>
      <c r="H19" s="175"/>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75">
        <v>2616266</v>
      </c>
      <c r="I20" s="175">
        <v>2697976.4099999997</v>
      </c>
      <c r="J20" s="175">
        <v>2604372</v>
      </c>
      <c r="K20" s="175">
        <v>2497968</v>
      </c>
      <c r="L20" s="175">
        <v>2457224</v>
      </c>
      <c r="M20" s="175"/>
      <c r="N20" s="175"/>
      <c r="O20" s="175"/>
      <c r="P20" s="175"/>
      <c r="Q20" s="175"/>
      <c r="R20" s="175"/>
      <c r="S20" s="175"/>
      <c r="T20" s="175"/>
      <c r="U20" s="175"/>
      <c r="V20" s="175"/>
      <c r="W20" s="175"/>
      <c r="X20" s="175"/>
      <c r="Y20" s="175"/>
      <c r="Z20" s="175"/>
      <c r="AA20" s="175"/>
      <c r="AB20" s="175">
        <f>+H20+J20+L20+N20+P20+R20+T20+V20+X20+Z20</f>
        <v>7677862</v>
      </c>
      <c r="AC20" s="175">
        <f>+I20+K20+M20+O20+Q20+S20+U20+W20+Y20+AA20</f>
        <v>5195944.41</v>
      </c>
      <c r="AD20" s="191">
        <v>15784125.999999998</v>
      </c>
      <c r="AF20" s="192"/>
    </row>
    <row r="21" spans="2:32" ht="15.75">
      <c r="B21" s="176"/>
      <c r="C21" s="249" t="s">
        <v>287</v>
      </c>
      <c r="D21" s="297" t="s">
        <v>365</v>
      </c>
      <c r="F21" s="216"/>
      <c r="G21" s="193" t="s">
        <v>235</v>
      </c>
      <c r="H21" s="175">
        <v>27860861.47</v>
      </c>
      <c r="I21" s="175">
        <v>17350879</v>
      </c>
      <c r="J21" s="175">
        <v>16139160</v>
      </c>
      <c r="K21" s="175">
        <f>10641449+265619</f>
        <v>10907068</v>
      </c>
      <c r="L21" s="175">
        <f>9066700+97580</f>
        <v>9164280</v>
      </c>
      <c r="M21" s="175"/>
      <c r="N21" s="175"/>
      <c r="O21" s="175"/>
      <c r="P21" s="175"/>
      <c r="Q21" s="175"/>
      <c r="R21" s="175"/>
      <c r="S21" s="175"/>
      <c r="T21" s="175"/>
      <c r="U21" s="175"/>
      <c r="V21" s="175"/>
      <c r="W21" s="175"/>
      <c r="X21" s="175"/>
      <c r="Y21" s="175"/>
      <c r="Z21" s="175"/>
      <c r="AA21" s="175"/>
      <c r="AB21" s="175">
        <f>+H21+J21+L21+N21+P21+R21+T21+V21+X21+Z21</f>
        <v>53164301.47</v>
      </c>
      <c r="AC21" s="175">
        <f>+I21+K21+M21+O21+Q21+S21+U21+W21+Y21+AA21</f>
        <v>28257947</v>
      </c>
      <c r="AD21" s="175" t="e">
        <f>#REF!</f>
        <v>#REF!</v>
      </c>
      <c r="AF21" s="192"/>
    </row>
    <row r="22" spans="2:29" ht="15.75" customHeight="1">
      <c r="B22" s="176"/>
      <c r="C22" s="249"/>
      <c r="D22" s="297"/>
      <c r="F22" s="216"/>
      <c r="G22" s="193"/>
      <c r="H22" s="175"/>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203983197.53</v>
      </c>
      <c r="I23" s="481">
        <v>158388037.41</v>
      </c>
      <c r="J23" s="481">
        <f>SUM(J14:J22)</f>
        <v>123674744.9</v>
      </c>
      <c r="K23" s="481">
        <f>SUM(K14:K22)</f>
        <v>101976270</v>
      </c>
      <c r="L23" s="482">
        <f>SUM(L15:L22)</f>
        <v>224633253</v>
      </c>
      <c r="M23" s="483"/>
      <c r="N23" s="483"/>
      <c r="O23" s="483"/>
      <c r="P23" s="483"/>
      <c r="Q23" s="483"/>
      <c r="R23" s="483"/>
      <c r="S23" s="483"/>
      <c r="T23" s="483"/>
      <c r="U23" s="483"/>
      <c r="V23" s="483"/>
      <c r="W23" s="483"/>
      <c r="X23" s="483"/>
      <c r="Y23" s="483"/>
      <c r="Z23" s="483"/>
      <c r="AA23" s="483"/>
      <c r="AB23" s="478">
        <f>+H23+J23+L23+N23+P23+R23+T23+V23+X23+Z23+1</f>
        <v>552291196.4300001</v>
      </c>
      <c r="AC23" s="479">
        <f>+I23+K23+M23+O23+Q23+S23+U23+W23+Y23+AA23</f>
        <v>260364307.41</v>
      </c>
      <c r="AD23" s="481" t="e">
        <f>SUM(AD14:AD22)</f>
        <v>#REF!</v>
      </c>
      <c r="AE23" s="192"/>
      <c r="AF23" s="192"/>
    </row>
    <row r="24" spans="2:29" ht="15">
      <c r="B24" s="176"/>
      <c r="F24" s="480"/>
      <c r="G24" s="193"/>
      <c r="H24" s="484"/>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299533877.47</v>
      </c>
      <c r="I25" s="178">
        <v>125224291.59</v>
      </c>
      <c r="J25" s="178">
        <f>+J12-J23</f>
        <v>87320137.1</v>
      </c>
      <c r="K25" s="178">
        <f>+K12-K23</f>
        <v>62131976</v>
      </c>
      <c r="L25" s="178">
        <f>+L12-L23</f>
        <v>15173570</v>
      </c>
      <c r="M25" s="178"/>
      <c r="N25" s="178"/>
      <c r="O25" s="178"/>
      <c r="P25" s="178"/>
      <c r="Q25" s="178"/>
      <c r="R25" s="178"/>
      <c r="S25" s="178"/>
      <c r="T25" s="178"/>
      <c r="U25" s="178"/>
      <c r="V25" s="178"/>
      <c r="W25" s="178"/>
      <c r="X25" s="178"/>
      <c r="Y25" s="178"/>
      <c r="Z25" s="178"/>
      <c r="AA25" s="178"/>
      <c r="AB25" s="175">
        <f>+H25+J25+L25+N25+P25+R25+T25+V25+X25+Z25</f>
        <v>402027584.57000005</v>
      </c>
      <c r="AC25" s="175">
        <f>+I25+K25+M25+O25+Q25+S25+U25+W25+Y25+AA25</f>
        <v>187356267.59</v>
      </c>
      <c r="AD25" s="178" t="e">
        <f>+AD12-AD23</f>
        <v>#REF!</v>
      </c>
      <c r="AF25" s="192"/>
      <c r="AG25" s="192"/>
    </row>
    <row r="26" spans="2:29" ht="15.75">
      <c r="B26" s="176"/>
      <c r="C26" s="32" t="s">
        <v>375</v>
      </c>
      <c r="F26" s="216"/>
      <c r="G26" s="193"/>
      <c r="H26" s="178"/>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80"/>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299533877.47</v>
      </c>
      <c r="I28" s="180">
        <v>125224291.59</v>
      </c>
      <c r="J28" s="180">
        <f>+J25-J27</f>
        <v>87320137.1</v>
      </c>
      <c r="K28" s="180">
        <f>+K25-K27</f>
        <v>62131976</v>
      </c>
      <c r="L28" s="180">
        <f>+L25-L27</f>
        <v>15173570</v>
      </c>
      <c r="M28" s="180"/>
      <c r="N28" s="180"/>
      <c r="O28" s="180"/>
      <c r="P28" s="180"/>
      <c r="Q28" s="180"/>
      <c r="R28" s="180"/>
      <c r="S28" s="180"/>
      <c r="T28" s="180"/>
      <c r="U28" s="180"/>
      <c r="V28" s="180"/>
      <c r="W28" s="180"/>
      <c r="X28" s="180"/>
      <c r="Y28" s="180"/>
      <c r="Z28" s="180"/>
      <c r="AA28" s="180"/>
      <c r="AB28" s="175">
        <f>+H28+J28+L28+N28+P28+R28+T28+V28+X28+Z28</f>
        <v>402027584.57000005</v>
      </c>
      <c r="AC28" s="175">
        <f>+I28+K28+M28+O28+Q28+S28+U28+W28+Y28+AA28</f>
        <v>187356267.59</v>
      </c>
      <c r="AD28" s="180" t="e">
        <f>+AD25-AD27</f>
        <v>#REF!</v>
      </c>
    </row>
    <row r="29" spans="2:30" ht="15.75">
      <c r="B29" s="260" t="s">
        <v>291</v>
      </c>
      <c r="C29" s="32" t="s">
        <v>368</v>
      </c>
      <c r="D29" s="297"/>
      <c r="E29" s="338"/>
      <c r="F29" s="216"/>
      <c r="G29" s="193"/>
      <c r="H29" s="180"/>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299533877.47</v>
      </c>
      <c r="I30" s="487">
        <v>125224291.59</v>
      </c>
      <c r="J30" s="487">
        <f>+J28-J29</f>
        <v>87320137.1</v>
      </c>
      <c r="K30" s="487">
        <f>+K28-K29</f>
        <v>62131976</v>
      </c>
      <c r="L30" s="487">
        <f>+L28-L29</f>
        <v>15173570</v>
      </c>
      <c r="M30" s="487"/>
      <c r="N30" s="487"/>
      <c r="O30" s="487"/>
      <c r="P30" s="487"/>
      <c r="Q30" s="487"/>
      <c r="R30" s="487"/>
      <c r="S30" s="487"/>
      <c r="T30" s="487"/>
      <c r="U30" s="487"/>
      <c r="V30" s="487"/>
      <c r="W30" s="487"/>
      <c r="X30" s="487"/>
      <c r="Y30" s="487"/>
      <c r="Z30" s="487"/>
      <c r="AA30" s="487"/>
      <c r="AB30" s="175">
        <f>+H30+J30+L30+N30+P30+R30+T30+V30+X30+Z30</f>
        <v>402027584.57000005</v>
      </c>
      <c r="AC30" s="175">
        <f>+I30+K30+M30+O30+Q30+S30+U30+W30+Y30+AA30</f>
        <v>187356267.59</v>
      </c>
      <c r="AD30" s="487" t="e">
        <f>+AD28-AD29</f>
        <v>#REF!</v>
      </c>
    </row>
    <row r="31" spans="2:29" ht="15.75">
      <c r="B31" s="260" t="s">
        <v>194</v>
      </c>
      <c r="C31" s="32" t="s">
        <v>369</v>
      </c>
      <c r="D31" s="260"/>
      <c r="E31" s="32"/>
      <c r="F31" s="216"/>
      <c r="G31" s="193"/>
      <c r="H31" s="180"/>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80">
        <v>155000000</v>
      </c>
      <c r="I32" s="180">
        <v>40070830</v>
      </c>
      <c r="J32" s="180">
        <v>27500000</v>
      </c>
      <c r="K32" s="180">
        <v>23440474</v>
      </c>
      <c r="L32" s="180"/>
      <c r="M32" s="180"/>
      <c r="N32" s="180"/>
      <c r="O32" s="180"/>
      <c r="P32" s="180"/>
      <c r="Q32" s="180"/>
      <c r="R32" s="180"/>
      <c r="S32" s="180"/>
      <c r="T32" s="180"/>
      <c r="U32" s="180"/>
      <c r="V32" s="180"/>
      <c r="W32" s="180"/>
      <c r="X32" s="180"/>
      <c r="Y32" s="180"/>
      <c r="Z32" s="180"/>
      <c r="AA32" s="180"/>
      <c r="AB32" s="175">
        <f>H32+J32+L32+N32+P32+R32+T32+X32+Z32</f>
        <v>182500000</v>
      </c>
      <c r="AC32" s="175">
        <f>I32+K32+M32+O32+Q32+S32+U32+Y32+AA32</f>
        <v>63511304</v>
      </c>
      <c r="AD32" s="191">
        <v>27500000</v>
      </c>
    </row>
    <row r="33" spans="2:30" ht="15.75">
      <c r="B33" s="250"/>
      <c r="C33" s="249" t="s">
        <v>242</v>
      </c>
      <c r="D33" s="297" t="s">
        <v>371</v>
      </c>
      <c r="E33" s="338"/>
      <c r="F33" s="216"/>
      <c r="G33" s="193"/>
      <c r="H33" s="180">
        <v>1640307</v>
      </c>
      <c r="I33" s="180">
        <v>1912000</v>
      </c>
      <c r="J33" s="180">
        <v>682000</v>
      </c>
      <c r="K33" s="180">
        <v>24411922</v>
      </c>
      <c r="L33" s="180"/>
      <c r="M33" s="180"/>
      <c r="N33" s="180"/>
      <c r="O33" s="180"/>
      <c r="P33" s="180"/>
      <c r="Q33" s="180"/>
      <c r="R33" s="180"/>
      <c r="S33" s="180"/>
      <c r="T33" s="180"/>
      <c r="U33" s="180"/>
      <c r="V33" s="180"/>
      <c r="W33" s="180"/>
      <c r="X33" s="180"/>
      <c r="Y33" s="180"/>
      <c r="Z33" s="180"/>
      <c r="AA33" s="180"/>
      <c r="AB33" s="175">
        <f>H33+J33+L33+N33+P33+R33+T33+X33+Z33</f>
        <v>2322307</v>
      </c>
      <c r="AC33" s="175">
        <f>I33+K33+M33+O33+Q33+S33+U33+Y33+AA33</f>
        <v>26323922</v>
      </c>
      <c r="AD33" s="191">
        <v>682000</v>
      </c>
    </row>
    <row r="34" spans="2:30" ht="15.75">
      <c r="B34" s="176"/>
      <c r="C34" s="249" t="s">
        <v>243</v>
      </c>
      <c r="D34" s="176" t="s">
        <v>372</v>
      </c>
      <c r="F34" s="216"/>
      <c r="G34" s="193"/>
      <c r="H34" s="180">
        <v>-4380000</v>
      </c>
      <c r="I34" s="180">
        <v>-17427000</v>
      </c>
      <c r="J34" s="180"/>
      <c r="K34" s="180"/>
      <c r="L34" s="180"/>
      <c r="M34" s="180"/>
      <c r="N34" s="180"/>
      <c r="O34" s="180"/>
      <c r="P34" s="180"/>
      <c r="Q34" s="180"/>
      <c r="R34" s="180"/>
      <c r="S34" s="180"/>
      <c r="T34" s="180"/>
      <c r="U34" s="180"/>
      <c r="V34" s="180"/>
      <c r="W34" s="180"/>
      <c r="X34" s="180"/>
      <c r="Y34" s="180"/>
      <c r="Z34" s="180"/>
      <c r="AA34" s="180"/>
      <c r="AB34" s="175">
        <f>+H34+J34+L34+N34+P34+R34+T34+V34+X34+Z34</f>
        <v>-4380000</v>
      </c>
      <c r="AC34" s="175">
        <f>I34+K34+M34+O34+Q34+S34+U34+Y34+AA34</f>
        <v>-17427000</v>
      </c>
      <c r="AD34" s="191">
        <v>0</v>
      </c>
    </row>
    <row r="35" spans="2:32" ht="15">
      <c r="B35" s="176"/>
      <c r="C35" s="488" t="s">
        <v>373</v>
      </c>
      <c r="F35" s="216"/>
      <c r="G35" s="193"/>
      <c r="H35" s="198">
        <v>152260307</v>
      </c>
      <c r="I35" s="198">
        <v>24555830</v>
      </c>
      <c r="J35" s="198">
        <v>28182000</v>
      </c>
      <c r="K35" s="198">
        <f>SUM(K32:K34)</f>
        <v>47852396</v>
      </c>
      <c r="L35" s="383">
        <f>SUM(L32:L34)</f>
        <v>0</v>
      </c>
      <c r="M35" s="399"/>
      <c r="N35" s="399"/>
      <c r="O35" s="399"/>
      <c r="P35" s="399"/>
      <c r="Q35" s="399"/>
      <c r="R35" s="399"/>
      <c r="S35" s="399"/>
      <c r="T35" s="399"/>
      <c r="U35" s="399"/>
      <c r="V35" s="399"/>
      <c r="W35" s="399"/>
      <c r="X35" s="399"/>
      <c r="Y35" s="399"/>
      <c r="Z35" s="399"/>
      <c r="AA35" s="399"/>
      <c r="AB35" s="387">
        <f>+H35+J35+L35+N35+P35+R35+T35+V35+X35+Z35</f>
        <v>180442307</v>
      </c>
      <c r="AC35" s="222">
        <f>+I35+K35+M35+O35+Q35+S35+U35+W35+Y35+AA35</f>
        <v>72408226</v>
      </c>
      <c r="AD35" s="489">
        <f>SUM(AD32:AD34)</f>
        <v>28182000</v>
      </c>
      <c r="AF35" s="192"/>
    </row>
    <row r="36" spans="2:30" ht="15">
      <c r="B36" s="176"/>
      <c r="C36" s="130"/>
      <c r="F36" s="216"/>
      <c r="G36" s="193"/>
      <c r="H36" s="180"/>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147273570.47000003</v>
      </c>
      <c r="I37" s="487">
        <v>100668461.59</v>
      </c>
      <c r="J37" s="487">
        <f>+J30-J35</f>
        <v>59138137.099999994</v>
      </c>
      <c r="K37" s="487">
        <f>+K30-K35</f>
        <v>14279580</v>
      </c>
      <c r="L37" s="487">
        <f>+L30-L35</f>
        <v>15173570</v>
      </c>
      <c r="M37" s="487"/>
      <c r="N37" s="487"/>
      <c r="O37" s="487"/>
      <c r="P37" s="487"/>
      <c r="Q37" s="487"/>
      <c r="R37" s="487"/>
      <c r="S37" s="487"/>
      <c r="T37" s="487"/>
      <c r="U37" s="487"/>
      <c r="V37" s="487"/>
      <c r="W37" s="487"/>
      <c r="X37" s="487"/>
      <c r="Y37" s="487"/>
      <c r="Z37" s="487"/>
      <c r="AA37" s="487"/>
      <c r="AB37" s="175">
        <f>+H37+J37+L37+N37+P37+R37+T37+V37+X37+Z37</f>
        <v>221585277.57000002</v>
      </c>
      <c r="AC37" s="175">
        <f>+I37+K37+M37+O37+Q37+S37+U37+W37+Y37+AA37</f>
        <v>114948041.59</v>
      </c>
      <c r="AD37" s="487" t="e">
        <f>+AD30-AD35</f>
        <v>#REF!</v>
      </c>
      <c r="AE37" s="192"/>
    </row>
    <row r="38" spans="2:30" ht="15.75">
      <c r="B38" s="260" t="s">
        <v>196</v>
      </c>
      <c r="C38" s="32" t="s">
        <v>380</v>
      </c>
      <c r="D38" s="249"/>
      <c r="E38" s="297"/>
      <c r="F38" s="216"/>
      <c r="G38" s="193"/>
      <c r="H38" s="180"/>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80"/>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80"/>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147273570.47000003</v>
      </c>
      <c r="I41" s="200">
        <v>100668461.59</v>
      </c>
      <c r="J41" s="200">
        <f>+J37+J40</f>
        <v>59138137.099999994</v>
      </c>
      <c r="K41" s="200">
        <f>+K37+K40</f>
        <v>14279580</v>
      </c>
      <c r="L41" s="384">
        <f>+L37+L40</f>
        <v>15173570</v>
      </c>
      <c r="M41" s="399"/>
      <c r="N41" s="399"/>
      <c r="O41" s="399"/>
      <c r="P41" s="399"/>
      <c r="Q41" s="399"/>
      <c r="R41" s="399"/>
      <c r="S41" s="399"/>
      <c r="T41" s="399"/>
      <c r="U41" s="399"/>
      <c r="V41" s="399"/>
      <c r="W41" s="399"/>
      <c r="X41" s="399"/>
      <c r="Y41" s="399"/>
      <c r="Z41" s="399"/>
      <c r="AA41" s="399"/>
      <c r="AB41" s="491">
        <f>+H41+J41+L41+N41+P41+R41+T41+V41+X41+Z41</f>
        <v>221585277.57000002</v>
      </c>
      <c r="AC41" s="492">
        <f>+I41+K41+M41+O41+Q41+S41+U41+W41+Y41+AA41</f>
        <v>114948041.59</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21.xml><?xml version="1.0" encoding="utf-8"?>
<worksheet xmlns="http://schemas.openxmlformats.org/spreadsheetml/2006/main" xmlns:r="http://schemas.openxmlformats.org/officeDocument/2006/relationships">
  <dimension ref="A1:R62"/>
  <sheetViews>
    <sheetView zoomScale="115" zoomScaleNormal="115" workbookViewId="0" topLeftCell="A1">
      <selection activeCell="H1" sqref="H1:Q16384"/>
    </sheetView>
  </sheetViews>
  <sheetFormatPr defaultColWidth="9.140625" defaultRowHeight="15"/>
  <cols>
    <col min="1" max="1" width="4.00390625" style="1" customWidth="1"/>
    <col min="2" max="2" width="4.00390625" style="6" customWidth="1"/>
    <col min="3" max="5" width="4.00390625" style="1" customWidth="1"/>
    <col min="6" max="6" width="31.421875" style="1" customWidth="1"/>
    <col min="7" max="7" width="7.57421875" style="2" customWidth="1"/>
    <col min="8" max="8" width="13.7109375" style="5" hidden="1" customWidth="1"/>
    <col min="9" max="9" width="12.8515625" style="4" hidden="1" customWidth="1"/>
    <col min="10" max="10" width="14.28125" style="1" hidden="1" customWidth="1"/>
    <col min="11" max="11" width="13.8515625" style="1" hidden="1" customWidth="1"/>
    <col min="12" max="12" width="15.8515625" style="1" hidden="1" customWidth="1"/>
    <col min="13" max="13" width="15.28125" style="1" hidden="1" customWidth="1"/>
    <col min="14" max="14" width="14.00390625" style="1" hidden="1" customWidth="1"/>
    <col min="15" max="15" width="14.28125" style="1" hidden="1" customWidth="1"/>
    <col min="16" max="17" width="16.57421875" style="1" hidden="1" customWidth="1"/>
    <col min="18" max="18" width="16.8515625" style="1" customWidth="1"/>
    <col min="19" max="16384" width="9.140625" style="1" customWidth="1"/>
  </cols>
  <sheetData>
    <row r="1" ht="12.75">
      <c r="L1" s="1" t="s">
        <v>181</v>
      </c>
    </row>
    <row r="2" spans="1:9" ht="15" customHeight="1" thickBot="1">
      <c r="A2" s="523" t="s">
        <v>182</v>
      </c>
      <c r="B2" s="523"/>
      <c r="C2" s="523"/>
      <c r="D2" s="523"/>
      <c r="E2" s="523"/>
      <c r="F2" s="523"/>
      <c r="G2" s="523"/>
      <c r="H2" s="523"/>
      <c r="I2" s="523"/>
    </row>
    <row r="3" spans="1:18" ht="15" customHeight="1">
      <c r="A3" s="524" t="s">
        <v>206</v>
      </c>
      <c r="B3" s="558"/>
      <c r="C3" s="558"/>
      <c r="D3" s="558"/>
      <c r="E3" s="558"/>
      <c r="F3" s="559"/>
      <c r="G3" s="563" t="s">
        <v>207</v>
      </c>
      <c r="H3" s="537" t="s">
        <v>231</v>
      </c>
      <c r="I3" s="537"/>
      <c r="J3" s="537"/>
      <c r="K3" s="537"/>
      <c r="L3" s="537"/>
      <c r="M3" s="537"/>
      <c r="N3" s="537"/>
      <c r="O3" s="537"/>
      <c r="P3" s="537"/>
      <c r="Q3" s="537"/>
      <c r="R3" s="139"/>
    </row>
    <row r="4" spans="1:18" ht="13.5" thickBot="1">
      <c r="A4" s="560"/>
      <c r="B4" s="561"/>
      <c r="C4" s="561"/>
      <c r="D4" s="561"/>
      <c r="E4" s="561"/>
      <c r="F4" s="562"/>
      <c r="G4" s="564"/>
      <c r="H4" s="522" t="s">
        <v>208</v>
      </c>
      <c r="I4" s="522"/>
      <c r="J4" s="522"/>
      <c r="K4" s="522"/>
      <c r="L4" s="522"/>
      <c r="M4" s="522"/>
      <c r="N4" s="522"/>
      <c r="O4" s="522"/>
      <c r="P4" s="522"/>
      <c r="Q4" s="522"/>
      <c r="R4" s="140"/>
    </row>
    <row r="5" spans="1:18" ht="13.5" thickBot="1">
      <c r="A5" s="560"/>
      <c r="B5" s="561"/>
      <c r="C5" s="561"/>
      <c r="D5" s="561"/>
      <c r="E5" s="561"/>
      <c r="F5" s="562"/>
      <c r="G5" s="565"/>
      <c r="H5" s="137" t="s">
        <v>151</v>
      </c>
      <c r="I5" s="138" t="s">
        <v>152</v>
      </c>
      <c r="J5" s="137" t="s">
        <v>153</v>
      </c>
      <c r="K5" s="138" t="s">
        <v>154</v>
      </c>
      <c r="L5" s="137" t="s">
        <v>155</v>
      </c>
      <c r="M5" s="138" t="s">
        <v>156</v>
      </c>
      <c r="N5" s="137" t="s">
        <v>157</v>
      </c>
      <c r="O5" s="138" t="s">
        <v>158</v>
      </c>
      <c r="P5" s="137" t="s">
        <v>159</v>
      </c>
      <c r="Q5" s="138" t="s">
        <v>160</v>
      </c>
      <c r="R5" s="137" t="s">
        <v>209</v>
      </c>
    </row>
    <row r="6" spans="1:18" ht="15.75" customHeight="1" thickBot="1">
      <c r="A6" s="531">
        <v>1</v>
      </c>
      <c r="B6" s="532"/>
      <c r="C6" s="532"/>
      <c r="D6" s="532"/>
      <c r="E6" s="532"/>
      <c r="F6" s="533"/>
      <c r="G6" s="53">
        <v>2</v>
      </c>
      <c r="H6" s="54">
        <v>3</v>
      </c>
      <c r="I6" s="55">
        <v>4</v>
      </c>
      <c r="J6" s="54">
        <v>5</v>
      </c>
      <c r="K6" s="55">
        <v>6</v>
      </c>
      <c r="L6" s="54">
        <v>7</v>
      </c>
      <c r="M6" s="55">
        <v>8</v>
      </c>
      <c r="N6" s="54">
        <v>9</v>
      </c>
      <c r="O6" s="55">
        <v>10</v>
      </c>
      <c r="P6" s="54">
        <v>11</v>
      </c>
      <c r="Q6" s="55">
        <v>12</v>
      </c>
      <c r="R6" s="54">
        <v>13</v>
      </c>
    </row>
    <row r="7" spans="1:18" ht="15">
      <c r="A7" s="22" t="s">
        <v>221</v>
      </c>
      <c r="B7" s="23" t="s">
        <v>239</v>
      </c>
      <c r="C7" s="7"/>
      <c r="D7" s="7"/>
      <c r="E7" s="7"/>
      <c r="F7" s="121"/>
      <c r="G7" s="8"/>
      <c r="H7" s="9"/>
      <c r="I7" s="10"/>
      <c r="J7" s="9"/>
      <c r="K7" s="10"/>
      <c r="L7" s="9"/>
      <c r="M7" s="10"/>
      <c r="N7" s="9"/>
      <c r="O7" s="10"/>
      <c r="P7" s="9"/>
      <c r="Q7" s="10"/>
      <c r="R7" s="9"/>
    </row>
    <row r="8" spans="1:18" ht="15">
      <c r="A8" s="11"/>
      <c r="B8" s="47">
        <v>-1</v>
      </c>
      <c r="C8" s="7" t="s">
        <v>240</v>
      </c>
      <c r="D8" s="12"/>
      <c r="E8" s="12"/>
      <c r="F8" s="122"/>
      <c r="G8" s="13"/>
      <c r="H8" s="14"/>
      <c r="I8" s="15"/>
      <c r="J8" s="14"/>
      <c r="K8" s="15"/>
      <c r="L8" s="14"/>
      <c r="M8" s="15"/>
      <c r="N8" s="14"/>
      <c r="O8" s="15"/>
      <c r="P8" s="14"/>
      <c r="Q8" s="15"/>
      <c r="R8" s="14"/>
    </row>
    <row r="9" spans="1:18" ht="15.75">
      <c r="A9" s="11"/>
      <c r="B9" s="24"/>
      <c r="C9" s="12" t="s">
        <v>241</v>
      </c>
      <c r="D9" s="26" t="s">
        <v>244</v>
      </c>
      <c r="E9" s="26"/>
      <c r="F9" s="26"/>
      <c r="G9" s="128" t="s">
        <v>146</v>
      </c>
      <c r="H9" s="16">
        <v>0</v>
      </c>
      <c r="I9" s="16">
        <v>0</v>
      </c>
      <c r="J9" s="16">
        <v>0</v>
      </c>
      <c r="K9" s="16">
        <v>0</v>
      </c>
      <c r="L9" s="16">
        <v>0</v>
      </c>
      <c r="M9" s="16">
        <v>0</v>
      </c>
      <c r="N9" s="16">
        <v>0</v>
      </c>
      <c r="O9" s="16">
        <v>0</v>
      </c>
      <c r="P9" s="16" t="e">
        <f>#REF!</f>
        <v>#REF!</v>
      </c>
      <c r="Q9" s="16">
        <v>0</v>
      </c>
      <c r="R9" s="16" t="e">
        <f>Q9+P9+O9+N9+M9+L9+K9+J9+I9+H9</f>
        <v>#REF!</v>
      </c>
    </row>
    <row r="10" spans="1:18" ht="15.75">
      <c r="A10" s="11"/>
      <c r="B10" s="24"/>
      <c r="C10" s="12" t="s">
        <v>242</v>
      </c>
      <c r="D10" s="26" t="s">
        <v>245</v>
      </c>
      <c r="E10" s="26"/>
      <c r="F10" s="26"/>
      <c r="G10" s="128" t="s">
        <v>147</v>
      </c>
      <c r="H10" s="16" t="e">
        <f>#REF!</f>
        <v>#REF!</v>
      </c>
      <c r="I10" s="16" t="e">
        <f>#REF!</f>
        <v>#REF!</v>
      </c>
      <c r="J10" s="16" t="e">
        <f>#REF!</f>
        <v>#REF!</v>
      </c>
      <c r="K10" s="16" t="e">
        <f>#REF!</f>
        <v>#REF!</v>
      </c>
      <c r="L10" s="16" t="e">
        <f>#REF!</f>
        <v>#REF!</v>
      </c>
      <c r="M10" s="16" t="e">
        <f>#REF!</f>
        <v>#REF!</v>
      </c>
      <c r="N10" s="16" t="e">
        <f>#REF!</f>
        <v>#REF!</v>
      </c>
      <c r="O10" s="16" t="e">
        <f>#REF!</f>
        <v>#REF!</v>
      </c>
      <c r="P10" s="16" t="e">
        <f>#REF!</f>
        <v>#REF!</v>
      </c>
      <c r="Q10" s="16" t="e">
        <f>#REF!</f>
        <v>#REF!</v>
      </c>
      <c r="R10" s="16" t="e">
        <f>Q10+P10+O10+N10+M10+L10+K10+J10+I10+H10</f>
        <v>#REF!</v>
      </c>
    </row>
    <row r="11" spans="1:18" ht="15.75">
      <c r="A11" s="11"/>
      <c r="B11" s="24"/>
      <c r="C11" s="12" t="s">
        <v>243</v>
      </c>
      <c r="D11" s="26" t="s">
        <v>246</v>
      </c>
      <c r="E11" s="26"/>
      <c r="F11" s="26"/>
      <c r="G11" s="13"/>
      <c r="H11" s="16">
        <v>0</v>
      </c>
      <c r="I11" s="16">
        <v>0</v>
      </c>
      <c r="J11" s="16"/>
      <c r="K11" s="16"/>
      <c r="L11" s="16"/>
      <c r="M11" s="16"/>
      <c r="N11" s="16"/>
      <c r="O11" s="16"/>
      <c r="P11" s="16"/>
      <c r="Q11" s="16"/>
      <c r="R11" s="16"/>
    </row>
    <row r="12" spans="1:18" ht="12.75">
      <c r="A12" s="11"/>
      <c r="B12" s="48"/>
      <c r="C12" s="24"/>
      <c r="D12" s="12"/>
      <c r="E12" s="12"/>
      <c r="F12" s="123" t="s">
        <v>293</v>
      </c>
      <c r="G12" s="13"/>
      <c r="H12" s="17" t="e">
        <f>SUM(H9:H11)</f>
        <v>#REF!</v>
      </c>
      <c r="I12" s="17" t="e">
        <f>SUM(I9:I11)</f>
        <v>#REF!</v>
      </c>
      <c r="J12" s="17" t="e">
        <f aca="true" t="shared" si="0" ref="J12:R12">+J9+J10</f>
        <v>#REF!</v>
      </c>
      <c r="K12" s="17" t="e">
        <f t="shared" si="0"/>
        <v>#REF!</v>
      </c>
      <c r="L12" s="17" t="e">
        <f t="shared" si="0"/>
        <v>#REF!</v>
      </c>
      <c r="M12" s="17" t="e">
        <f t="shared" si="0"/>
        <v>#REF!</v>
      </c>
      <c r="N12" s="17" t="e">
        <f t="shared" si="0"/>
        <v>#REF!</v>
      </c>
      <c r="O12" s="17" t="e">
        <f t="shared" si="0"/>
        <v>#REF!</v>
      </c>
      <c r="P12" s="17" t="e">
        <f t="shared" si="0"/>
        <v>#REF!</v>
      </c>
      <c r="Q12" s="17" t="e">
        <f t="shared" si="0"/>
        <v>#REF!</v>
      </c>
      <c r="R12" s="17" t="e">
        <f t="shared" si="0"/>
        <v>#REF!</v>
      </c>
    </row>
    <row r="13" spans="1:18" ht="15.75">
      <c r="A13" s="11"/>
      <c r="B13" s="49">
        <v>-2</v>
      </c>
      <c r="C13" s="28" t="s">
        <v>247</v>
      </c>
      <c r="D13" s="28"/>
      <c r="E13" s="26"/>
      <c r="F13" s="122"/>
      <c r="G13" s="13"/>
      <c r="H13" s="16">
        <v>0</v>
      </c>
      <c r="I13" s="16">
        <v>0</v>
      </c>
      <c r="J13" s="16"/>
      <c r="K13" s="16"/>
      <c r="L13" s="16"/>
      <c r="M13" s="16"/>
      <c r="N13" s="16"/>
      <c r="O13" s="16"/>
      <c r="P13" s="16"/>
      <c r="Q13" s="16"/>
      <c r="R13" s="16"/>
    </row>
    <row r="14" spans="1:18" ht="12.75">
      <c r="A14" s="11"/>
      <c r="B14" s="24"/>
      <c r="C14" s="12"/>
      <c r="D14" s="12"/>
      <c r="E14" s="12"/>
      <c r="F14" s="123" t="s">
        <v>294</v>
      </c>
      <c r="G14" s="13"/>
      <c r="H14" s="17">
        <f>SUM(H13)</f>
        <v>0</v>
      </c>
      <c r="I14" s="17">
        <f>SUM(I13)</f>
        <v>0</v>
      </c>
      <c r="J14" s="17"/>
      <c r="K14" s="17"/>
      <c r="L14" s="17"/>
      <c r="M14" s="17"/>
      <c r="N14" s="17"/>
      <c r="O14" s="17"/>
      <c r="P14" s="17"/>
      <c r="Q14" s="17"/>
      <c r="R14" s="17"/>
    </row>
    <row r="15" spans="1:18" ht="15.75">
      <c r="A15" s="11"/>
      <c r="B15" s="49">
        <v>-3</v>
      </c>
      <c r="C15" s="28" t="s">
        <v>248</v>
      </c>
      <c r="D15" s="28"/>
      <c r="E15" s="26"/>
      <c r="F15" s="122"/>
      <c r="G15" s="13"/>
      <c r="H15" s="16"/>
      <c r="I15" s="16"/>
      <c r="J15" s="16"/>
      <c r="K15" s="16"/>
      <c r="L15" s="16"/>
      <c r="M15" s="16"/>
      <c r="N15" s="16"/>
      <c r="O15" s="16"/>
      <c r="P15" s="16"/>
      <c r="Q15" s="16"/>
      <c r="R15" s="16"/>
    </row>
    <row r="16" spans="1:18" ht="15.75">
      <c r="A16" s="11"/>
      <c r="B16" s="26"/>
      <c r="C16" s="27" t="s">
        <v>241</v>
      </c>
      <c r="D16" s="26" t="s">
        <v>249</v>
      </c>
      <c r="E16" s="26"/>
      <c r="F16" s="124"/>
      <c r="G16" s="13" t="s">
        <v>165</v>
      </c>
      <c r="H16" s="16">
        <f>'NOTE 1'!M27</f>
        <v>0</v>
      </c>
      <c r="I16" s="16">
        <f>'NOTE 1'!Q27</f>
        <v>0</v>
      </c>
      <c r="J16" s="16">
        <f>'NOTE 1'!U27</f>
        <v>0</v>
      </c>
      <c r="K16" s="16">
        <f>'NOTE 1'!Y27</f>
        <v>0</v>
      </c>
      <c r="L16" s="16">
        <f>'NOTE 1'!AC27</f>
        <v>0</v>
      </c>
      <c r="M16" s="16">
        <f>'NOTE 1'!AG27</f>
        <v>0</v>
      </c>
      <c r="N16" s="16">
        <f>'NOTE 1'!AK26</f>
        <v>0</v>
      </c>
      <c r="O16" s="16">
        <f>'NOTE 1'!AO27</f>
        <v>0</v>
      </c>
      <c r="P16" s="16">
        <f>'NOTE 1'!AS27</f>
        <v>0</v>
      </c>
      <c r="Q16" s="16">
        <f>'NOTE 1'!AW27</f>
        <v>0</v>
      </c>
      <c r="R16" s="16">
        <f>Q16+P16+O16+N16+M16+L16+K16+J16+I16+H16</f>
        <v>0</v>
      </c>
    </row>
    <row r="17" spans="1:18" ht="15.75">
      <c r="A17" s="11"/>
      <c r="B17" s="26"/>
      <c r="C17" s="27" t="s">
        <v>242</v>
      </c>
      <c r="D17" s="26" t="s">
        <v>250</v>
      </c>
      <c r="E17" s="26"/>
      <c r="F17" s="124"/>
      <c r="G17" s="13"/>
      <c r="H17" s="16">
        <v>0</v>
      </c>
      <c r="I17" s="16">
        <v>0</v>
      </c>
      <c r="J17" s="16"/>
      <c r="K17" s="16">
        <f>'NOTE 1'!Y27</f>
        <v>0</v>
      </c>
      <c r="L17" s="16"/>
      <c r="M17" s="16"/>
      <c r="N17" s="16"/>
      <c r="O17" s="16"/>
      <c r="P17" s="141">
        <v>42845807</v>
      </c>
      <c r="Q17" s="16"/>
      <c r="R17" s="16">
        <f>Q17+P17+O17+N17+M17+L17+K17+J17+I17+H17</f>
        <v>42845807</v>
      </c>
    </row>
    <row r="18" spans="1:18" ht="15.75">
      <c r="A18" s="11"/>
      <c r="B18" s="26"/>
      <c r="C18" s="27" t="s">
        <v>243</v>
      </c>
      <c r="D18" s="26" t="s">
        <v>251</v>
      </c>
      <c r="E18" s="26"/>
      <c r="F18" s="124"/>
      <c r="G18" s="13" t="s">
        <v>166</v>
      </c>
      <c r="H18" s="135" t="e">
        <f>#REF!</f>
        <v>#REF!</v>
      </c>
      <c r="I18" s="135" t="e">
        <f>#REF!</f>
        <v>#REF!</v>
      </c>
      <c r="J18" s="135" t="e">
        <f>#REF!</f>
        <v>#REF!</v>
      </c>
      <c r="K18" s="135" t="e">
        <f>#REF!</f>
        <v>#REF!</v>
      </c>
      <c r="L18" s="135" t="e">
        <f>#REF!</f>
        <v>#REF!</v>
      </c>
      <c r="M18" s="135" t="e">
        <f>#REF!</f>
        <v>#REF!</v>
      </c>
      <c r="N18" s="135" t="e">
        <f>#REF!</f>
        <v>#REF!</v>
      </c>
      <c r="O18" s="135" t="e">
        <f>#REF!</f>
        <v>#REF!</v>
      </c>
      <c r="P18" s="135" t="e">
        <f>#REF!</f>
        <v>#REF!</v>
      </c>
      <c r="Q18" s="135" t="e">
        <f>#REF!</f>
        <v>#REF!</v>
      </c>
      <c r="R18" s="16" t="e">
        <f>Q18+P18+O18+N18+M18+L18+K18+J18+I18+H18</f>
        <v>#REF!</v>
      </c>
    </row>
    <row r="19" spans="1:18" ht="15.75">
      <c r="A19" s="11"/>
      <c r="B19" s="26"/>
      <c r="C19" s="27" t="s">
        <v>252</v>
      </c>
      <c r="D19" s="26" t="s">
        <v>253</v>
      </c>
      <c r="E19" s="26"/>
      <c r="F19" s="124"/>
      <c r="G19" s="13" t="s">
        <v>167</v>
      </c>
      <c r="H19" s="135" t="e">
        <f>#REF!</f>
        <v>#REF!</v>
      </c>
      <c r="I19" s="135" t="e">
        <f>#REF!</f>
        <v>#REF!</v>
      </c>
      <c r="J19" s="135" t="e">
        <f>#REF!</f>
        <v>#REF!</v>
      </c>
      <c r="K19" s="135" t="e">
        <f>#REF!</f>
        <v>#REF!</v>
      </c>
      <c r="L19" s="135" t="e">
        <f>#REF!</f>
        <v>#REF!</v>
      </c>
      <c r="M19" s="135" t="e">
        <f>#REF!</f>
        <v>#REF!</v>
      </c>
      <c r="N19" s="135" t="e">
        <f>#REF!</f>
        <v>#REF!</v>
      </c>
      <c r="O19" s="135" t="e">
        <f>#REF!</f>
        <v>#REF!</v>
      </c>
      <c r="P19" s="135" t="e">
        <f>#REF!</f>
        <v>#REF!</v>
      </c>
      <c r="Q19" s="135" t="e">
        <f>#REF!</f>
        <v>#REF!</v>
      </c>
      <c r="R19" s="16" t="e">
        <f>Q19+P19+O19+N19+M19+L19+K19+J19+I19+H19</f>
        <v>#REF!</v>
      </c>
    </row>
    <row r="20" spans="1:18" ht="12.75">
      <c r="A20" s="11"/>
      <c r="B20" s="24"/>
      <c r="C20" s="12"/>
      <c r="D20" s="12"/>
      <c r="E20" s="12"/>
      <c r="F20" s="123" t="s">
        <v>295</v>
      </c>
      <c r="G20" s="13"/>
      <c r="H20" s="142" t="e">
        <f>SUM(H16:H19)</f>
        <v>#REF!</v>
      </c>
      <c r="I20" s="142" t="e">
        <f aca="true" t="shared" si="1" ref="I20:R20">SUM(I16:I19)</f>
        <v>#REF!</v>
      </c>
      <c r="J20" s="142" t="e">
        <f t="shared" si="1"/>
        <v>#REF!</v>
      </c>
      <c r="K20" s="142" t="e">
        <f t="shared" si="1"/>
        <v>#REF!</v>
      </c>
      <c r="L20" s="142" t="e">
        <f t="shared" si="1"/>
        <v>#REF!</v>
      </c>
      <c r="M20" s="142" t="e">
        <f t="shared" si="1"/>
        <v>#REF!</v>
      </c>
      <c r="N20" s="142" t="e">
        <f t="shared" si="1"/>
        <v>#REF!</v>
      </c>
      <c r="O20" s="142" t="e">
        <f t="shared" si="1"/>
        <v>#REF!</v>
      </c>
      <c r="P20" s="142" t="e">
        <f t="shared" si="1"/>
        <v>#REF!</v>
      </c>
      <c r="Q20" s="142" t="e">
        <f t="shared" si="1"/>
        <v>#REF!</v>
      </c>
      <c r="R20" s="142" t="e">
        <f t="shared" si="1"/>
        <v>#REF!</v>
      </c>
    </row>
    <row r="21" spans="1:18" ht="15.75">
      <c r="A21" s="11"/>
      <c r="B21" s="49">
        <v>-4</v>
      </c>
      <c r="C21" s="28" t="s">
        <v>254</v>
      </c>
      <c r="D21" s="28"/>
      <c r="E21" s="26"/>
      <c r="F21" s="122"/>
      <c r="G21" s="13"/>
      <c r="H21" s="135"/>
      <c r="I21" s="135"/>
      <c r="J21" s="135"/>
      <c r="K21" s="135"/>
      <c r="L21" s="135"/>
      <c r="M21" s="135"/>
      <c r="N21" s="135"/>
      <c r="O21" s="135"/>
      <c r="P21" s="135"/>
      <c r="Q21" s="135"/>
      <c r="R21" s="135"/>
    </row>
    <row r="22" spans="1:18" ht="15.75">
      <c r="A22" s="11"/>
      <c r="B22" s="26"/>
      <c r="C22" s="27" t="s">
        <v>241</v>
      </c>
      <c r="D22" s="26" t="s">
        <v>255</v>
      </c>
      <c r="E22" s="26"/>
      <c r="F22" s="124"/>
      <c r="G22" s="13" t="s">
        <v>168</v>
      </c>
      <c r="H22" s="135">
        <f>'NOTE 2'!K14</f>
        <v>0</v>
      </c>
      <c r="I22" s="135">
        <f>'NOTE 2'!M14</f>
        <v>0</v>
      </c>
      <c r="J22" s="135">
        <f>'NOTE 2'!O14</f>
        <v>0</v>
      </c>
      <c r="K22" s="135">
        <f>'NOTE 2'!Q14</f>
        <v>0</v>
      </c>
      <c r="L22" s="135">
        <f>'NOTE 2'!S14</f>
        <v>0</v>
      </c>
      <c r="M22" s="135">
        <f>'NOTE 2'!U14</f>
        <v>0</v>
      </c>
      <c r="N22" s="135">
        <f>'NOTE 2'!W14</f>
        <v>0</v>
      </c>
      <c r="O22" s="135">
        <f>'NOTE 2'!Y14</f>
        <v>0</v>
      </c>
      <c r="P22" s="135">
        <f>'NOTE 2'!AA14</f>
        <v>0</v>
      </c>
      <c r="Q22" s="135">
        <f>'NOTE 2'!AC14</f>
        <v>0</v>
      </c>
      <c r="R22" s="135">
        <f>SUM(H22:Q22)</f>
        <v>0</v>
      </c>
    </row>
    <row r="23" spans="1:18" ht="15.75">
      <c r="A23" s="11"/>
      <c r="B23" s="26"/>
      <c r="C23" s="27" t="s">
        <v>242</v>
      </c>
      <c r="D23" s="26" t="s">
        <v>256</v>
      </c>
      <c r="E23" s="26"/>
      <c r="F23" s="124"/>
      <c r="G23" s="13" t="s">
        <v>169</v>
      </c>
      <c r="H23" s="135" t="e">
        <f>#REF!</f>
        <v>#REF!</v>
      </c>
      <c r="I23" s="135" t="e">
        <f>#REF!</f>
        <v>#REF!</v>
      </c>
      <c r="J23" s="135" t="e">
        <f>#REF!</f>
        <v>#REF!</v>
      </c>
      <c r="K23" s="135" t="e">
        <f>#REF!</f>
        <v>#REF!</v>
      </c>
      <c r="L23" s="135" t="e">
        <f>#REF!</f>
        <v>#REF!</v>
      </c>
      <c r="M23" s="135" t="e">
        <f>#REF!</f>
        <v>#REF!</v>
      </c>
      <c r="N23" s="135" t="e">
        <f>#REF!</f>
        <v>#REF!</v>
      </c>
      <c r="O23" s="135" t="e">
        <f>#REF!</f>
        <v>#REF!</v>
      </c>
      <c r="P23" s="135" t="e">
        <f>#REF!</f>
        <v>#REF!</v>
      </c>
      <c r="Q23" s="135" t="e">
        <f>#REF!</f>
        <v>#REF!</v>
      </c>
      <c r="R23" s="16" t="e">
        <f>Q23+P23+O23+N23+M23+L23+K23+J23+I23+H23+1</f>
        <v>#REF!</v>
      </c>
    </row>
    <row r="24" spans="1:18" ht="15.75">
      <c r="A24" s="11"/>
      <c r="B24" s="26"/>
      <c r="C24" s="27" t="s">
        <v>243</v>
      </c>
      <c r="D24" s="26" t="s">
        <v>257</v>
      </c>
      <c r="E24" s="26"/>
      <c r="F24" s="124"/>
      <c r="G24" s="13" t="s">
        <v>170</v>
      </c>
      <c r="H24" s="135" t="e">
        <f>#REF!</f>
        <v>#REF!</v>
      </c>
      <c r="I24" s="135" t="e">
        <f>#REF!</f>
        <v>#REF!</v>
      </c>
      <c r="J24" s="135" t="e">
        <f>#REF!</f>
        <v>#REF!</v>
      </c>
      <c r="K24" s="135" t="e">
        <f>#REF!</f>
        <v>#REF!</v>
      </c>
      <c r="L24" s="135" t="e">
        <f>#REF!</f>
        <v>#REF!</v>
      </c>
      <c r="M24" s="135" t="e">
        <f>#REF!</f>
        <v>#REF!</v>
      </c>
      <c r="N24" s="135" t="e">
        <f>#REF!</f>
        <v>#REF!</v>
      </c>
      <c r="O24" s="135" t="e">
        <f>#REF!</f>
        <v>#REF!</v>
      </c>
      <c r="P24" s="135" t="e">
        <f>#REF!</f>
        <v>#REF!</v>
      </c>
      <c r="Q24" s="135" t="e">
        <f>#REF!</f>
        <v>#REF!</v>
      </c>
      <c r="R24" s="16" t="e">
        <f>Q24+P24+O24+N24+M24+L24+K24+J24+I24+H24+1</f>
        <v>#REF!</v>
      </c>
    </row>
    <row r="25" spans="1:18" ht="15.75">
      <c r="A25" s="11"/>
      <c r="B25" s="26"/>
      <c r="C25" s="27" t="s">
        <v>252</v>
      </c>
      <c r="D25" s="26" t="s">
        <v>258</v>
      </c>
      <c r="E25" s="26"/>
      <c r="F25" s="124"/>
      <c r="G25" s="13" t="s">
        <v>221</v>
      </c>
      <c r="H25" s="16" t="e">
        <f>#REF!</f>
        <v>#REF!</v>
      </c>
      <c r="I25" s="16" t="e">
        <f>#REF!</f>
        <v>#REF!</v>
      </c>
      <c r="J25" s="16" t="e">
        <f>#REF!</f>
        <v>#REF!</v>
      </c>
      <c r="K25" s="16" t="e">
        <f>#REF!</f>
        <v>#REF!</v>
      </c>
      <c r="L25" s="16" t="e">
        <f>#REF!</f>
        <v>#REF!</v>
      </c>
      <c r="M25" s="16" t="e">
        <f>#REF!</f>
        <v>#REF!</v>
      </c>
      <c r="N25" s="16" t="e">
        <f>#REF!</f>
        <v>#REF!</v>
      </c>
      <c r="O25" s="16" t="e">
        <f>#REF!</f>
        <v>#REF!</v>
      </c>
      <c r="P25" s="16" t="e">
        <f>#REF!</f>
        <v>#REF!</v>
      </c>
      <c r="Q25" s="16" t="e">
        <f>#REF!</f>
        <v>#REF!</v>
      </c>
      <c r="R25" s="16" t="e">
        <f>Q25+P25+O25+N25+M25+L25+K25+J25+I25+H25</f>
        <v>#REF!</v>
      </c>
    </row>
    <row r="26" spans="1:18" ht="15.75">
      <c r="A26" s="11"/>
      <c r="B26" s="26"/>
      <c r="C26" s="27" t="s">
        <v>274</v>
      </c>
      <c r="D26" s="26" t="s">
        <v>126</v>
      </c>
      <c r="E26" s="26"/>
      <c r="F26" s="124"/>
      <c r="G26" s="13"/>
      <c r="H26" s="16">
        <v>68227894</v>
      </c>
      <c r="I26" s="16">
        <v>-91259909</v>
      </c>
      <c r="J26" s="16">
        <v>-938577504.97</v>
      </c>
      <c r="K26" s="16">
        <v>-181503896.29999998</v>
      </c>
      <c r="L26" s="16">
        <v>-155375424.4</v>
      </c>
      <c r="M26" s="16">
        <v>314755908.01</v>
      </c>
      <c r="N26" s="16">
        <v>25120330.52</v>
      </c>
      <c r="O26" s="16">
        <v>73819364.21000001</v>
      </c>
      <c r="P26" s="16">
        <v>-2696890370.8100004</v>
      </c>
      <c r="Q26" s="141">
        <v>3581683609</v>
      </c>
      <c r="R26" s="16">
        <f>Q26+P26+O26+N26+M26+L26+K26+J26+I26+H26</f>
        <v>0.25999951362609863</v>
      </c>
    </row>
    <row r="27" spans="1:18" ht="12.75">
      <c r="A27" s="11"/>
      <c r="B27" s="24"/>
      <c r="C27" s="12"/>
      <c r="D27" s="12"/>
      <c r="E27" s="12"/>
      <c r="F27" s="123" t="s">
        <v>296</v>
      </c>
      <c r="G27" s="13"/>
      <c r="H27" s="17" t="e">
        <f>SUM(H22:H26)</f>
        <v>#REF!</v>
      </c>
      <c r="I27" s="17" t="e">
        <f aca="true" t="shared" si="2" ref="I27:R27">SUM(I22:I26)</f>
        <v>#REF!</v>
      </c>
      <c r="J27" s="17" t="e">
        <f t="shared" si="2"/>
        <v>#REF!</v>
      </c>
      <c r="K27" s="17" t="e">
        <f t="shared" si="2"/>
        <v>#REF!</v>
      </c>
      <c r="L27" s="17" t="e">
        <f t="shared" si="2"/>
        <v>#REF!</v>
      </c>
      <c r="M27" s="17" t="e">
        <f t="shared" si="2"/>
        <v>#REF!</v>
      </c>
      <c r="N27" s="17" t="e">
        <f t="shared" si="2"/>
        <v>#REF!</v>
      </c>
      <c r="O27" s="17" t="e">
        <f t="shared" si="2"/>
        <v>#REF!</v>
      </c>
      <c r="P27" s="17" t="e">
        <f t="shared" si="2"/>
        <v>#REF!</v>
      </c>
      <c r="Q27" s="17" t="e">
        <f t="shared" si="2"/>
        <v>#REF!</v>
      </c>
      <c r="R27" s="17" t="e">
        <f t="shared" si="2"/>
        <v>#REF!</v>
      </c>
    </row>
    <row r="28" spans="1:18" ht="13.5" thickBot="1">
      <c r="A28" s="11"/>
      <c r="B28" s="24"/>
      <c r="C28" s="12"/>
      <c r="D28" s="12"/>
      <c r="E28" s="12"/>
      <c r="F28" s="125" t="s">
        <v>297</v>
      </c>
      <c r="G28" s="13"/>
      <c r="H28" s="119" t="e">
        <f>+H12+H14+H20+H27</f>
        <v>#REF!</v>
      </c>
      <c r="I28" s="119" t="e">
        <f aca="true" t="shared" si="3" ref="I28:R28">+I12+I14+I20+I27</f>
        <v>#REF!</v>
      </c>
      <c r="J28" s="119" t="e">
        <f t="shared" si="3"/>
        <v>#REF!</v>
      </c>
      <c r="K28" s="119" t="e">
        <f t="shared" si="3"/>
        <v>#REF!</v>
      </c>
      <c r="L28" s="119" t="e">
        <f t="shared" si="3"/>
        <v>#REF!</v>
      </c>
      <c r="M28" s="119" t="e">
        <f t="shared" si="3"/>
        <v>#REF!</v>
      </c>
      <c r="N28" s="119" t="e">
        <f t="shared" si="3"/>
        <v>#REF!</v>
      </c>
      <c r="O28" s="119" t="e">
        <f t="shared" si="3"/>
        <v>#REF!</v>
      </c>
      <c r="P28" s="119" t="e">
        <f t="shared" si="3"/>
        <v>#REF!</v>
      </c>
      <c r="Q28" s="119" t="e">
        <f t="shared" si="3"/>
        <v>#REF!</v>
      </c>
      <c r="R28" s="119" t="e">
        <f t="shared" si="3"/>
        <v>#REF!</v>
      </c>
    </row>
    <row r="29" spans="1:18" ht="18" customHeight="1" thickTop="1">
      <c r="A29" s="50" t="s">
        <v>259</v>
      </c>
      <c r="B29" s="51" t="s">
        <v>260</v>
      </c>
      <c r="C29" s="26"/>
      <c r="D29" s="26"/>
      <c r="E29" s="12"/>
      <c r="F29" s="122"/>
      <c r="G29" s="13"/>
      <c r="H29" s="16"/>
      <c r="I29" s="16"/>
      <c r="J29" s="16"/>
      <c r="K29" s="16"/>
      <c r="L29" s="16"/>
      <c r="M29" s="16"/>
      <c r="N29" s="16"/>
      <c r="O29" s="16"/>
      <c r="P29" s="16"/>
      <c r="Q29" s="16"/>
      <c r="R29" s="16"/>
    </row>
    <row r="30" spans="1:18" ht="15.75">
      <c r="A30" s="11"/>
      <c r="B30" s="49">
        <v>-1</v>
      </c>
      <c r="C30" s="28" t="s">
        <v>261</v>
      </c>
      <c r="D30" s="28"/>
      <c r="E30" s="26"/>
      <c r="F30" s="126"/>
      <c r="G30" s="13"/>
      <c r="H30" s="16"/>
      <c r="I30" s="16"/>
      <c r="J30" s="16"/>
      <c r="K30" s="16"/>
      <c r="L30" s="16"/>
      <c r="M30" s="16"/>
      <c r="N30" s="16"/>
      <c r="O30" s="16"/>
      <c r="P30" s="16"/>
      <c r="Q30" s="16"/>
      <c r="R30" s="16"/>
    </row>
    <row r="31" spans="1:18" ht="15.75">
      <c r="A31" s="11"/>
      <c r="B31" s="52"/>
      <c r="C31" s="27" t="s">
        <v>241</v>
      </c>
      <c r="D31" s="26" t="s">
        <v>262</v>
      </c>
      <c r="E31" s="26"/>
      <c r="F31" s="126"/>
      <c r="G31" s="13"/>
      <c r="H31" s="16"/>
      <c r="I31" s="120"/>
      <c r="J31" s="16"/>
      <c r="K31" s="120"/>
      <c r="L31" s="16"/>
      <c r="M31" s="120"/>
      <c r="N31" s="16"/>
      <c r="O31" s="120"/>
      <c r="P31" s="16"/>
      <c r="Q31" s="120"/>
      <c r="R31" s="16"/>
    </row>
    <row r="32" spans="1:18" ht="15.75">
      <c r="A32" s="11"/>
      <c r="B32" s="52"/>
      <c r="C32" s="26"/>
      <c r="D32" s="30" t="s">
        <v>263</v>
      </c>
      <c r="E32" s="29" t="s">
        <v>264</v>
      </c>
      <c r="F32" s="124"/>
      <c r="G32" s="13" t="s">
        <v>171</v>
      </c>
      <c r="H32" s="16">
        <v>43922753</v>
      </c>
      <c r="I32" s="16">
        <v>1941645.53</v>
      </c>
      <c r="J32" s="16">
        <v>10141207.23</v>
      </c>
      <c r="K32" s="16">
        <v>34398719.48</v>
      </c>
      <c r="L32" s="16">
        <v>137965289.1</v>
      </c>
      <c r="M32" s="16">
        <v>15187677.106999999</v>
      </c>
      <c r="N32" s="16">
        <v>242062.33000000002</v>
      </c>
      <c r="O32" s="16">
        <v>24641917.4</v>
      </c>
      <c r="P32" s="141">
        <v>63482676.91</v>
      </c>
      <c r="Q32" s="16">
        <v>3849917.1399999997</v>
      </c>
      <c r="R32" s="16">
        <f>Q32+P32+O32+N32+M32+L32+K32+J32+I32+H32</f>
        <v>335773865.227</v>
      </c>
    </row>
    <row r="33" spans="1:18" ht="15.75">
      <c r="A33" s="11"/>
      <c r="B33" s="52"/>
      <c r="C33" s="26"/>
      <c r="D33" s="30" t="s">
        <v>265</v>
      </c>
      <c r="E33" s="29" t="s">
        <v>266</v>
      </c>
      <c r="F33" s="124"/>
      <c r="G33" s="13"/>
      <c r="H33" s="16" t="e">
        <f>#REF!</f>
        <v>#REF!</v>
      </c>
      <c r="I33" s="16" t="e">
        <f>#REF!</f>
        <v>#REF!</v>
      </c>
      <c r="J33" s="16"/>
      <c r="K33" s="16">
        <v>0</v>
      </c>
      <c r="L33" s="16"/>
      <c r="M33" s="16">
        <v>0</v>
      </c>
      <c r="N33" s="16"/>
      <c r="O33" s="16"/>
      <c r="P33" s="16">
        <v>0</v>
      </c>
      <c r="Q33" s="16">
        <v>0</v>
      </c>
      <c r="R33" s="16"/>
    </row>
    <row r="34" spans="1:18" ht="15.75">
      <c r="A34" s="11"/>
      <c r="B34" s="52"/>
      <c r="C34" s="26"/>
      <c r="D34" s="30" t="s">
        <v>267</v>
      </c>
      <c r="E34" s="29" t="s">
        <v>268</v>
      </c>
      <c r="F34" s="124"/>
      <c r="G34" s="13"/>
      <c r="H34" s="16"/>
      <c r="I34" s="16"/>
      <c r="J34" s="16"/>
      <c r="K34" s="16">
        <v>6604552</v>
      </c>
      <c r="L34" s="16"/>
      <c r="M34" s="16">
        <v>5734122</v>
      </c>
      <c r="N34" s="16"/>
      <c r="O34" s="16"/>
      <c r="P34" s="16">
        <v>9374698</v>
      </c>
      <c r="Q34" s="16">
        <v>0</v>
      </c>
      <c r="R34" s="16">
        <f>Q34+P34+O34+N34+M34+L34+K34+J34+I34+H34</f>
        <v>21713372</v>
      </c>
    </row>
    <row r="35" spans="1:18" ht="15.75" customHeight="1">
      <c r="A35" s="11"/>
      <c r="B35" s="52"/>
      <c r="C35" s="26"/>
      <c r="D35" s="30" t="s">
        <v>269</v>
      </c>
      <c r="E35" s="29" t="s">
        <v>270</v>
      </c>
      <c r="F35" s="124"/>
      <c r="G35" s="13" t="s">
        <v>172</v>
      </c>
      <c r="H35" s="16">
        <v>0</v>
      </c>
      <c r="I35" s="16">
        <v>0</v>
      </c>
      <c r="J35" s="16"/>
      <c r="K35" s="16"/>
      <c r="L35" s="16"/>
      <c r="M35" s="16"/>
      <c r="N35" s="16"/>
      <c r="O35" s="16"/>
      <c r="P35" s="16"/>
      <c r="Q35" s="16">
        <v>0</v>
      </c>
      <c r="R35" s="16"/>
    </row>
    <row r="36" spans="1:18" ht="15.75">
      <c r="A36" s="11"/>
      <c r="B36" s="52"/>
      <c r="C36" s="27" t="s">
        <v>242</v>
      </c>
      <c r="D36" s="26" t="s">
        <v>271</v>
      </c>
      <c r="E36" s="26"/>
      <c r="F36" s="124"/>
      <c r="G36" s="13" t="s">
        <v>173</v>
      </c>
      <c r="H36" s="16">
        <v>0</v>
      </c>
      <c r="I36" s="16">
        <v>0</v>
      </c>
      <c r="J36" s="16"/>
      <c r="K36" s="16"/>
      <c r="L36" s="16"/>
      <c r="M36" s="16"/>
      <c r="N36" s="16"/>
      <c r="O36" s="16"/>
      <c r="P36" s="16"/>
      <c r="Q36" s="16"/>
      <c r="R36" s="16"/>
    </row>
    <row r="37" spans="1:18" ht="15.75">
      <c r="A37" s="11"/>
      <c r="B37" s="52"/>
      <c r="C37" s="27" t="s">
        <v>243</v>
      </c>
      <c r="D37" s="26" t="s">
        <v>272</v>
      </c>
      <c r="E37" s="26"/>
      <c r="F37" s="124"/>
      <c r="G37" s="13"/>
      <c r="H37" s="16">
        <v>0</v>
      </c>
      <c r="I37" s="16">
        <v>0</v>
      </c>
      <c r="J37" s="16"/>
      <c r="K37" s="16"/>
      <c r="L37" s="16"/>
      <c r="M37" s="16"/>
      <c r="N37" s="16"/>
      <c r="O37" s="16"/>
      <c r="P37" s="16"/>
      <c r="Q37" s="16"/>
      <c r="R37" s="16"/>
    </row>
    <row r="38" spans="1:18" ht="15.75">
      <c r="A38" s="11"/>
      <c r="B38" s="52"/>
      <c r="C38" s="27" t="s">
        <v>252</v>
      </c>
      <c r="D38" s="26" t="s">
        <v>273</v>
      </c>
      <c r="E38" s="26"/>
      <c r="F38" s="124"/>
      <c r="G38" s="13" t="s">
        <v>174</v>
      </c>
      <c r="H38" s="16" t="e">
        <f>#REF!</f>
        <v>#REF!</v>
      </c>
      <c r="I38" s="16" t="e">
        <f>#REF!</f>
        <v>#REF!</v>
      </c>
      <c r="J38" s="16" t="e">
        <f>#REF!</f>
        <v>#REF!</v>
      </c>
      <c r="K38" s="16" t="e">
        <f>#REF!</f>
        <v>#REF!</v>
      </c>
      <c r="L38" s="16" t="e">
        <f>#REF!</f>
        <v>#REF!</v>
      </c>
      <c r="M38" s="16" t="e">
        <f>#REF!</f>
        <v>#REF!</v>
      </c>
      <c r="N38" s="16" t="e">
        <f>#REF!</f>
        <v>#REF!</v>
      </c>
      <c r="O38" s="16" t="e">
        <f>#REF!</f>
        <v>#REF!</v>
      </c>
      <c r="P38" s="16" t="e">
        <f>#REF!</f>
        <v>#REF!</v>
      </c>
      <c r="Q38" s="16" t="e">
        <f>#REF!</f>
        <v>#REF!</v>
      </c>
      <c r="R38" s="16" t="e">
        <f>Q38+P38+O38+N38+M38+L38+K38+J38+I38+H38</f>
        <v>#REF!</v>
      </c>
    </row>
    <row r="39" spans="1:18" ht="15.75">
      <c r="A39" s="11"/>
      <c r="B39" s="52"/>
      <c r="C39" s="27" t="s">
        <v>274</v>
      </c>
      <c r="D39" s="26" t="s">
        <v>275</v>
      </c>
      <c r="E39" s="26"/>
      <c r="F39" s="124"/>
      <c r="G39" s="13" t="s">
        <v>175</v>
      </c>
      <c r="H39" s="16">
        <v>0</v>
      </c>
      <c r="I39" s="16">
        <v>0</v>
      </c>
      <c r="J39" s="16"/>
      <c r="K39" s="16"/>
      <c r="L39" s="16"/>
      <c r="M39" s="16"/>
      <c r="N39" s="16"/>
      <c r="O39" s="16"/>
      <c r="P39" s="16"/>
      <c r="Q39" s="16"/>
      <c r="R39" s="16"/>
    </row>
    <row r="40" spans="1:18" ht="15.75">
      <c r="A40" s="11"/>
      <c r="B40" s="52"/>
      <c r="C40" s="27"/>
      <c r="D40" s="26"/>
      <c r="E40" s="26"/>
      <c r="F40" s="124"/>
      <c r="G40" s="13"/>
      <c r="H40" s="16"/>
      <c r="I40" s="16"/>
      <c r="J40" s="16"/>
      <c r="K40" s="16"/>
      <c r="L40" s="16"/>
      <c r="M40" s="16"/>
      <c r="N40" s="16"/>
      <c r="O40" s="16"/>
      <c r="P40" s="16"/>
      <c r="Q40" s="16"/>
      <c r="R40" s="16"/>
    </row>
    <row r="41" spans="1:18" ht="12.75">
      <c r="A41" s="11"/>
      <c r="B41" s="24"/>
      <c r="C41" s="12"/>
      <c r="D41" s="12"/>
      <c r="E41" s="12"/>
      <c r="F41" s="123" t="s">
        <v>122</v>
      </c>
      <c r="G41" s="13"/>
      <c r="H41" s="17" t="e">
        <f>SUM(H32:H40)</f>
        <v>#REF!</v>
      </c>
      <c r="I41" s="17" t="e">
        <f aca="true" t="shared" si="4" ref="I41:Q41">SUM(I32:I40)</f>
        <v>#REF!</v>
      </c>
      <c r="J41" s="17" t="e">
        <f t="shared" si="4"/>
        <v>#REF!</v>
      </c>
      <c r="K41" s="17" t="e">
        <f t="shared" si="4"/>
        <v>#REF!</v>
      </c>
      <c r="L41" s="17" t="e">
        <f t="shared" si="4"/>
        <v>#REF!</v>
      </c>
      <c r="M41" s="17" t="e">
        <f t="shared" si="4"/>
        <v>#REF!</v>
      </c>
      <c r="N41" s="17" t="e">
        <f t="shared" si="4"/>
        <v>#REF!</v>
      </c>
      <c r="O41" s="17" t="e">
        <f t="shared" si="4"/>
        <v>#REF!</v>
      </c>
      <c r="P41" s="17" t="e">
        <f t="shared" si="4"/>
        <v>#REF!</v>
      </c>
      <c r="Q41" s="17" t="e">
        <f t="shared" si="4"/>
        <v>#REF!</v>
      </c>
      <c r="R41" s="17" t="e">
        <f>SUM(R32:R40)</f>
        <v>#REF!</v>
      </c>
    </row>
    <row r="42" spans="1:18" ht="15.75">
      <c r="A42" s="11"/>
      <c r="B42" s="49">
        <v>-2</v>
      </c>
      <c r="C42" s="28" t="s">
        <v>276</v>
      </c>
      <c r="D42" s="28"/>
      <c r="E42" s="26"/>
      <c r="F42" s="126"/>
      <c r="G42" s="13"/>
      <c r="H42" s="16"/>
      <c r="I42" s="16"/>
      <c r="J42" s="16"/>
      <c r="K42" s="16"/>
      <c r="L42" s="16"/>
      <c r="M42" s="16"/>
      <c r="N42" s="16"/>
      <c r="O42" s="16"/>
      <c r="P42" s="16"/>
      <c r="Q42" s="16"/>
      <c r="R42" s="16"/>
    </row>
    <row r="43" spans="1:18" ht="15.75">
      <c r="A43" s="11"/>
      <c r="B43" s="26"/>
      <c r="C43" s="27" t="s">
        <v>241</v>
      </c>
      <c r="D43" s="26" t="s">
        <v>277</v>
      </c>
      <c r="E43" s="26"/>
      <c r="F43" s="124"/>
      <c r="G43" s="13" t="s">
        <v>176</v>
      </c>
      <c r="H43" s="16">
        <v>0</v>
      </c>
      <c r="I43" s="16">
        <v>0</v>
      </c>
      <c r="J43" s="16"/>
      <c r="K43" s="16"/>
      <c r="L43" s="16"/>
      <c r="M43" s="16"/>
      <c r="N43" s="16"/>
      <c r="O43" s="16"/>
      <c r="P43" s="16"/>
      <c r="Q43" s="16"/>
      <c r="R43" s="16"/>
    </row>
    <row r="44" spans="1:18" ht="15.75">
      <c r="A44" s="11"/>
      <c r="B44" s="26"/>
      <c r="C44" s="27" t="s">
        <v>242</v>
      </c>
      <c r="D44" s="26" t="s">
        <v>278</v>
      </c>
      <c r="E44" s="26"/>
      <c r="F44" s="124"/>
      <c r="G44" s="13" t="s">
        <v>177</v>
      </c>
      <c r="H44" s="16" t="e">
        <f>#REF!</f>
        <v>#REF!</v>
      </c>
      <c r="I44" s="16" t="e">
        <f>#REF!</f>
        <v>#REF!</v>
      </c>
      <c r="J44" s="16" t="e">
        <f>#REF!</f>
        <v>#REF!</v>
      </c>
      <c r="K44" s="16" t="e">
        <f>#REF!</f>
        <v>#REF!</v>
      </c>
      <c r="L44" s="16" t="e">
        <f>#REF!</f>
        <v>#REF!</v>
      </c>
      <c r="M44" s="16" t="e">
        <f>#REF!</f>
        <v>#REF!</v>
      </c>
      <c r="N44" s="16" t="e">
        <f>#REF!</f>
        <v>#REF!</v>
      </c>
      <c r="O44" s="16" t="e">
        <f>#REF!</f>
        <v>#REF!</v>
      </c>
      <c r="P44" s="16" t="e">
        <f>#REF!</f>
        <v>#REF!</v>
      </c>
      <c r="Q44" s="16" t="e">
        <f>#REF!</f>
        <v>#REF!</v>
      </c>
      <c r="R44" s="16" t="e">
        <f>Q44+P44+O44+N44+M44+L44+K44+J44+I44+H44</f>
        <v>#REF!</v>
      </c>
    </row>
    <row r="45" spans="1:18" ht="15.75">
      <c r="A45" s="11"/>
      <c r="B45" s="26"/>
      <c r="C45" s="27" t="s">
        <v>243</v>
      </c>
      <c r="D45" s="26" t="s">
        <v>279</v>
      </c>
      <c r="E45" s="26"/>
      <c r="F45" s="124"/>
      <c r="G45" s="13" t="s">
        <v>178</v>
      </c>
      <c r="H45" s="16" t="e">
        <f>#REF!</f>
        <v>#REF!</v>
      </c>
      <c r="I45" s="16" t="e">
        <f>#REF!</f>
        <v>#REF!</v>
      </c>
      <c r="J45" s="16" t="e">
        <f>#REF!</f>
        <v>#REF!</v>
      </c>
      <c r="K45" s="16" t="e">
        <f>#REF!</f>
        <v>#REF!</v>
      </c>
      <c r="L45" s="16" t="e">
        <f>#REF!</f>
        <v>#REF!</v>
      </c>
      <c r="M45" s="16" t="e">
        <f>#REF!</f>
        <v>#REF!</v>
      </c>
      <c r="N45" s="16" t="e">
        <f>#REF!</f>
        <v>#REF!</v>
      </c>
      <c r="O45" s="16" t="e">
        <f>#REF!</f>
        <v>#REF!</v>
      </c>
      <c r="P45" s="16" t="e">
        <f>#REF!</f>
        <v>#REF!</v>
      </c>
      <c r="Q45" s="16" t="e">
        <f>#REF!</f>
        <v>#REF!</v>
      </c>
      <c r="R45" s="16" t="e">
        <f>Q45+P45+O45+N45+M45+L45+K45+J45+I45+H45</f>
        <v>#REF!</v>
      </c>
    </row>
    <row r="46" spans="1:18" ht="15.75">
      <c r="A46" s="11"/>
      <c r="B46" s="26"/>
      <c r="C46" s="27" t="s">
        <v>252</v>
      </c>
      <c r="D46" s="26" t="s">
        <v>280</v>
      </c>
      <c r="E46" s="26"/>
      <c r="F46" s="124"/>
      <c r="G46" s="13" t="s">
        <v>179</v>
      </c>
      <c r="H46" s="16" t="e">
        <f>#REF!</f>
        <v>#REF!</v>
      </c>
      <c r="I46" s="16" t="e">
        <f>#REF!</f>
        <v>#REF!</v>
      </c>
      <c r="J46" s="16" t="e">
        <f>#REF!</f>
        <v>#REF!</v>
      </c>
      <c r="K46" s="16" t="e">
        <f>#REF!</f>
        <v>#REF!</v>
      </c>
      <c r="L46" s="16" t="e">
        <f>#REF!</f>
        <v>#REF!</v>
      </c>
      <c r="M46" s="16" t="e">
        <f>#REF!</f>
        <v>#REF!</v>
      </c>
      <c r="N46" s="16" t="e">
        <f>#REF!</f>
        <v>#REF!</v>
      </c>
      <c r="O46" s="16" t="e">
        <f>#REF!</f>
        <v>#REF!</v>
      </c>
      <c r="P46" s="16" t="e">
        <f>#REF!</f>
        <v>#REF!</v>
      </c>
      <c r="Q46" s="16" t="e">
        <f>#REF!</f>
        <v>#REF!</v>
      </c>
      <c r="R46" s="16" t="e">
        <f>Q46+P46+O46+N46+M46+L46+K46+J46+I46+H46</f>
        <v>#REF!</v>
      </c>
    </row>
    <row r="47" spans="1:18" ht="15.75">
      <c r="A47" s="11"/>
      <c r="B47" s="26"/>
      <c r="C47" s="27" t="s">
        <v>274</v>
      </c>
      <c r="D47" s="26" t="s">
        <v>281</v>
      </c>
      <c r="E47" s="26"/>
      <c r="F47" s="124"/>
      <c r="G47" s="13" t="s">
        <v>180</v>
      </c>
      <c r="H47" s="16" t="e">
        <f>#REF!</f>
        <v>#REF!</v>
      </c>
      <c r="I47" s="16" t="e">
        <f>#REF!</f>
        <v>#REF!</v>
      </c>
      <c r="J47" s="16" t="e">
        <f>#REF!</f>
        <v>#REF!</v>
      </c>
      <c r="K47" s="16" t="e">
        <f>#REF!</f>
        <v>#REF!</v>
      </c>
      <c r="L47" s="16" t="e">
        <f>#REF!</f>
        <v>#REF!</v>
      </c>
      <c r="M47" s="16" t="e">
        <f>#REF!</f>
        <v>#REF!</v>
      </c>
      <c r="N47" s="16" t="e">
        <f>#REF!</f>
        <v>#REF!</v>
      </c>
      <c r="O47" s="16" t="e">
        <f>#REF!</f>
        <v>#REF!</v>
      </c>
      <c r="P47" s="16" t="e">
        <f>#REF!</f>
        <v>#REF!</v>
      </c>
      <c r="Q47" s="16" t="e">
        <f>#REF!</f>
        <v>#REF!</v>
      </c>
      <c r="R47" s="16" t="e">
        <f>Q47+P47+O47+N47+M47+L47+K47+J47+I47+H47</f>
        <v>#REF!</v>
      </c>
    </row>
    <row r="48" spans="1:18" ht="15.75">
      <c r="A48" s="11"/>
      <c r="B48" s="24"/>
      <c r="C48" s="27" t="s">
        <v>282</v>
      </c>
      <c r="D48" s="26" t="s">
        <v>283</v>
      </c>
      <c r="E48" s="26"/>
      <c r="F48" s="124"/>
      <c r="G48" s="13" t="s">
        <v>164</v>
      </c>
      <c r="H48" s="16" t="e">
        <f>#REF!</f>
        <v>#REF!</v>
      </c>
      <c r="I48" s="16" t="e">
        <f>#REF!</f>
        <v>#REF!</v>
      </c>
      <c r="J48" s="16" t="e">
        <f>#REF!</f>
        <v>#REF!</v>
      </c>
      <c r="K48" s="16" t="e">
        <f>#REF!</f>
        <v>#REF!</v>
      </c>
      <c r="L48" s="16" t="e">
        <f>#REF!</f>
        <v>#REF!</v>
      </c>
      <c r="M48" s="16" t="e">
        <f>#REF!</f>
        <v>#REF!</v>
      </c>
      <c r="N48" s="16" t="e">
        <f>#REF!</f>
        <v>#REF!</v>
      </c>
      <c r="O48" s="16" t="e">
        <f>#REF!</f>
        <v>#REF!</v>
      </c>
      <c r="P48" s="16" t="e">
        <f>#REF!</f>
        <v>#REF!</v>
      </c>
      <c r="Q48" s="16" t="e">
        <f>#REF!</f>
        <v>#REF!</v>
      </c>
      <c r="R48" s="16" t="e">
        <f>Q48+P48+O48+N48+M48+L48+K48+J48+I48+H48</f>
        <v>#REF!</v>
      </c>
    </row>
    <row r="49" spans="1:18" ht="12.75">
      <c r="A49" s="11"/>
      <c r="B49" s="24"/>
      <c r="C49" s="12"/>
      <c r="D49" s="12"/>
      <c r="E49" s="12"/>
      <c r="F49" s="123" t="s">
        <v>123</v>
      </c>
      <c r="G49" s="13"/>
      <c r="H49" s="17" t="e">
        <f>SUM(H43:H48)</f>
        <v>#REF!</v>
      </c>
      <c r="I49" s="17" t="e">
        <f aca="true" t="shared" si="5" ref="I49:R49">SUM(I43:I48)</f>
        <v>#REF!</v>
      </c>
      <c r="J49" s="17" t="e">
        <f t="shared" si="5"/>
        <v>#REF!</v>
      </c>
      <c r="K49" s="17" t="e">
        <f t="shared" si="5"/>
        <v>#REF!</v>
      </c>
      <c r="L49" s="17" t="e">
        <f t="shared" si="5"/>
        <v>#REF!</v>
      </c>
      <c r="M49" s="17" t="e">
        <f t="shared" si="5"/>
        <v>#REF!</v>
      </c>
      <c r="N49" s="17" t="e">
        <f t="shared" si="5"/>
        <v>#REF!</v>
      </c>
      <c r="O49" s="17" t="e">
        <f t="shared" si="5"/>
        <v>#REF!</v>
      </c>
      <c r="P49" s="17" t="e">
        <f t="shared" si="5"/>
        <v>#REF!</v>
      </c>
      <c r="Q49" s="17" t="e">
        <f t="shared" si="5"/>
        <v>#REF!</v>
      </c>
      <c r="R49" s="17" t="e">
        <f t="shared" si="5"/>
        <v>#REF!</v>
      </c>
    </row>
    <row r="50" spans="1:18" ht="13.5" thickBot="1">
      <c r="A50" s="11"/>
      <c r="B50" s="24"/>
      <c r="C50" s="12"/>
      <c r="D50" s="12"/>
      <c r="E50" s="12"/>
      <c r="F50" s="125" t="s">
        <v>124</v>
      </c>
      <c r="G50" s="13"/>
      <c r="H50" s="119" t="e">
        <f>+H41+H49</f>
        <v>#REF!</v>
      </c>
      <c r="I50" s="119" t="e">
        <f aca="true" t="shared" si="6" ref="I50:R50">+I41+I49</f>
        <v>#REF!</v>
      </c>
      <c r="J50" s="119" t="e">
        <f t="shared" si="6"/>
        <v>#REF!</v>
      </c>
      <c r="K50" s="119" t="e">
        <f t="shared" si="6"/>
        <v>#REF!</v>
      </c>
      <c r="L50" s="119" t="e">
        <f t="shared" si="6"/>
        <v>#REF!</v>
      </c>
      <c r="M50" s="119" t="e">
        <f t="shared" si="6"/>
        <v>#REF!</v>
      </c>
      <c r="N50" s="119" t="e">
        <f t="shared" si="6"/>
        <v>#REF!</v>
      </c>
      <c r="O50" s="119" t="e">
        <f t="shared" si="6"/>
        <v>#REF!</v>
      </c>
      <c r="P50" s="119" t="e">
        <f t="shared" si="6"/>
        <v>#REF!</v>
      </c>
      <c r="Q50" s="119" t="e">
        <f t="shared" si="6"/>
        <v>#REF!</v>
      </c>
      <c r="R50" s="119" t="e">
        <f t="shared" si="6"/>
        <v>#REF!</v>
      </c>
    </row>
    <row r="51" spans="1:18" ht="13.5" customHeight="1" thickBot="1" thickTop="1">
      <c r="A51" s="18"/>
      <c r="B51" s="25"/>
      <c r="C51" s="19"/>
      <c r="D51" s="19"/>
      <c r="E51" s="19"/>
      <c r="F51" s="127"/>
      <c r="G51" s="20"/>
      <c r="H51" s="21"/>
      <c r="I51" s="21"/>
      <c r="J51" s="21"/>
      <c r="K51" s="21"/>
      <c r="L51" s="21"/>
      <c r="M51" s="21"/>
      <c r="N51" s="21"/>
      <c r="O51" s="21"/>
      <c r="P51" s="21"/>
      <c r="Q51" s="21"/>
      <c r="R51" s="21"/>
    </row>
    <row r="53" spans="2:18" s="36" customFormat="1" ht="15.75">
      <c r="B53" s="31"/>
      <c r="C53" s="38"/>
      <c r="D53" s="38"/>
      <c r="E53" s="38"/>
      <c r="F53" s="32"/>
      <c r="G53" s="37"/>
      <c r="H53" s="136" t="e">
        <f>+H28-H50</f>
        <v>#REF!</v>
      </c>
      <c r="I53" s="136" t="e">
        <f aca="true" t="shared" si="7" ref="I53:R53">+I28-I50</f>
        <v>#REF!</v>
      </c>
      <c r="J53" s="136" t="e">
        <f t="shared" si="7"/>
        <v>#REF!</v>
      </c>
      <c r="K53" s="136" t="e">
        <f t="shared" si="7"/>
        <v>#REF!</v>
      </c>
      <c r="L53" s="136" t="e">
        <f t="shared" si="7"/>
        <v>#REF!</v>
      </c>
      <c r="M53" s="136" t="e">
        <f t="shared" si="7"/>
        <v>#REF!</v>
      </c>
      <c r="N53" s="136" t="e">
        <f t="shared" si="7"/>
        <v>#REF!</v>
      </c>
      <c r="O53" s="136" t="e">
        <f t="shared" si="7"/>
        <v>#REF!</v>
      </c>
      <c r="P53" s="136" t="e">
        <f t="shared" si="7"/>
        <v>#REF!</v>
      </c>
      <c r="Q53" s="136" t="e">
        <f t="shared" si="7"/>
        <v>#REF!</v>
      </c>
      <c r="R53" s="136" t="e">
        <f t="shared" si="7"/>
        <v>#REF!</v>
      </c>
    </row>
    <row r="54" spans="2:9" s="36" customFormat="1" ht="15.75">
      <c r="B54" s="31"/>
      <c r="C54" s="31"/>
      <c r="D54" s="31"/>
      <c r="E54" s="38"/>
      <c r="F54" s="32"/>
      <c r="G54" s="39"/>
      <c r="H54" s="37"/>
      <c r="I54" s="37"/>
    </row>
    <row r="55" spans="1:9" s="36" customFormat="1" ht="15.75">
      <c r="A55" s="534"/>
      <c r="B55" s="534"/>
      <c r="C55" s="534"/>
      <c r="D55" s="534"/>
      <c r="E55" s="534"/>
      <c r="F55" s="534"/>
      <c r="G55" s="535"/>
      <c r="H55" s="535"/>
      <c r="I55" s="535"/>
    </row>
    <row r="56" spans="1:9" s="36" customFormat="1" ht="15.75">
      <c r="A56" s="40"/>
      <c r="B56" s="40"/>
      <c r="C56" s="40"/>
      <c r="D56" s="41"/>
      <c r="E56" s="41"/>
      <c r="F56" s="41"/>
      <c r="G56" s="536"/>
      <c r="H56" s="536"/>
      <c r="I56" s="536"/>
    </row>
    <row r="57" spans="1:9" s="36" customFormat="1" ht="15.75">
      <c r="A57" s="34"/>
      <c r="B57" s="34"/>
      <c r="C57" s="35"/>
      <c r="D57" s="41"/>
      <c r="E57" s="41"/>
      <c r="F57" s="41"/>
      <c r="G57" s="31"/>
      <c r="H57" s="42"/>
      <c r="I57" s="43"/>
    </row>
    <row r="58" spans="1:9" s="36" customFormat="1" ht="15.75">
      <c r="A58" s="33"/>
      <c r="B58" s="44"/>
      <c r="D58" s="41"/>
      <c r="E58" s="33"/>
      <c r="F58" s="41"/>
      <c r="G58" s="31"/>
      <c r="H58" s="42"/>
      <c r="I58" s="43"/>
    </row>
    <row r="59" spans="2:9" s="36" customFormat="1" ht="15.75">
      <c r="B59" s="45"/>
      <c r="G59" s="535"/>
      <c r="H59" s="535"/>
      <c r="I59" s="535"/>
    </row>
    <row r="60" spans="2:9" s="36" customFormat="1" ht="15.75">
      <c r="B60" s="45"/>
      <c r="G60" s="535"/>
      <c r="H60" s="535"/>
      <c r="I60" s="535"/>
    </row>
    <row r="61" spans="1:9" s="36" customFormat="1" ht="15.75">
      <c r="A61" s="32"/>
      <c r="B61" s="32"/>
      <c r="C61" s="38"/>
      <c r="D61" s="38"/>
      <c r="E61" s="46"/>
      <c r="F61" s="41"/>
      <c r="G61" s="530"/>
      <c r="H61" s="530"/>
      <c r="I61" s="530"/>
    </row>
    <row r="62" spans="2:9" s="36" customFormat="1" ht="12.75">
      <c r="B62" s="45"/>
      <c r="G62" s="39"/>
      <c r="H62" s="42"/>
      <c r="I62" s="43"/>
    </row>
  </sheetData>
  <sheetProtection/>
  <mergeCells count="20">
    <mergeCell ref="A2:I2"/>
    <mergeCell ref="A3:F5"/>
    <mergeCell ref="G3:G5"/>
    <mergeCell ref="H3:I3"/>
    <mergeCell ref="N3:O3"/>
    <mergeCell ref="P3:Q3"/>
    <mergeCell ref="H4:I4"/>
    <mergeCell ref="J4:K4"/>
    <mergeCell ref="L4:M4"/>
    <mergeCell ref="N4:O4"/>
    <mergeCell ref="P4:Q4"/>
    <mergeCell ref="J3:K3"/>
    <mergeCell ref="L3:M3"/>
    <mergeCell ref="G61:I61"/>
    <mergeCell ref="A6:F6"/>
    <mergeCell ref="A55:F55"/>
    <mergeCell ref="G55:I55"/>
    <mergeCell ref="G56:I56"/>
    <mergeCell ref="G59:I59"/>
    <mergeCell ref="G60:I60"/>
  </mergeCells>
  <printOptions/>
  <pageMargins left="0.75" right="0.75" top="0.42" bottom="0.5" header="0.25" footer="0.15"/>
  <pageSetup horizontalDpi="300" verticalDpi="300" orientation="portrait" paperSize="5" scale="98" r:id="rId1"/>
</worksheet>
</file>

<file path=xl/worksheets/sheet22.xml><?xml version="1.0" encoding="utf-8"?>
<worksheet xmlns="http://schemas.openxmlformats.org/spreadsheetml/2006/main" xmlns:r="http://schemas.openxmlformats.org/officeDocument/2006/relationships">
  <dimension ref="A1:AY27"/>
  <sheetViews>
    <sheetView zoomScalePageLayoutView="0" workbookViewId="0" topLeftCell="A1">
      <selection activeCell="A1" sqref="A1"/>
    </sheetView>
  </sheetViews>
  <sheetFormatPr defaultColWidth="9.140625" defaultRowHeight="15"/>
  <cols>
    <col min="1" max="1" width="6.421875" style="0" customWidth="1"/>
    <col min="2" max="2" width="4.7109375" style="0" customWidth="1"/>
    <col min="3" max="3" width="4.00390625" style="0" customWidth="1"/>
    <col min="6" max="6" width="26.57421875" style="0" customWidth="1"/>
    <col min="7" max="7" width="4.00390625" style="0" customWidth="1"/>
    <col min="8" max="11" width="8.7109375" style="0" customWidth="1"/>
    <col min="12" max="51" width="0" style="0" hidden="1" customWidth="1"/>
  </cols>
  <sheetData>
    <row r="1" spans="1:51" ht="15">
      <c r="A1" s="129" t="s">
        <v>184</v>
      </c>
      <c r="B1" s="129"/>
      <c r="C1" s="129"/>
      <c r="D1" s="157"/>
      <c r="E1" s="156"/>
      <c r="F1" s="156"/>
      <c r="G1" s="156"/>
      <c r="H1" s="156"/>
      <c r="I1" s="145"/>
      <c r="J1" s="145"/>
      <c r="K1" s="145"/>
      <c r="L1" s="568" t="s">
        <v>151</v>
      </c>
      <c r="M1" s="568"/>
      <c r="N1" s="568"/>
      <c r="O1" s="568"/>
      <c r="P1" s="568" t="s">
        <v>152</v>
      </c>
      <c r="Q1" s="568"/>
      <c r="R1" s="568"/>
      <c r="S1" s="568"/>
      <c r="T1" s="568" t="s">
        <v>153</v>
      </c>
      <c r="U1" s="568"/>
      <c r="V1" s="568"/>
      <c r="W1" s="568"/>
      <c r="X1" s="568" t="s">
        <v>161</v>
      </c>
      <c r="Y1" s="568"/>
      <c r="Z1" s="568"/>
      <c r="AA1" s="568"/>
      <c r="AB1" s="568" t="s">
        <v>162</v>
      </c>
      <c r="AC1" s="568"/>
      <c r="AD1" s="568"/>
      <c r="AE1" s="568"/>
      <c r="AF1" s="568" t="s">
        <v>156</v>
      </c>
      <c r="AG1" s="568"/>
      <c r="AH1" s="568"/>
      <c r="AI1" s="568"/>
      <c r="AJ1" s="568" t="s">
        <v>157</v>
      </c>
      <c r="AK1" s="568"/>
      <c r="AL1" s="568"/>
      <c r="AM1" s="568"/>
      <c r="AN1" s="568" t="s">
        <v>158</v>
      </c>
      <c r="AO1" s="568"/>
      <c r="AP1" s="568"/>
      <c r="AQ1" s="568"/>
      <c r="AR1" s="568" t="s">
        <v>159</v>
      </c>
      <c r="AS1" s="568"/>
      <c r="AT1" s="568"/>
      <c r="AU1" s="568"/>
      <c r="AV1" s="568" t="s">
        <v>160</v>
      </c>
      <c r="AW1" s="568"/>
      <c r="AX1" s="568"/>
      <c r="AY1" s="568"/>
    </row>
    <row r="2" spans="1:51" ht="15">
      <c r="A2" s="129" t="s">
        <v>201</v>
      </c>
      <c r="B2" s="129"/>
      <c r="C2" s="129"/>
      <c r="D2" s="157"/>
      <c r="E2" s="156"/>
      <c r="F2" s="156"/>
      <c r="G2" s="156"/>
      <c r="H2" s="156"/>
      <c r="I2" s="145"/>
      <c r="J2" s="145"/>
      <c r="K2" s="145"/>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row>
    <row r="3" spans="1:51" ht="15">
      <c r="A3" s="129"/>
      <c r="B3" s="129"/>
      <c r="C3" s="129"/>
      <c r="D3" s="157"/>
      <c r="E3" s="156"/>
      <c r="F3" s="156"/>
      <c r="G3" s="156"/>
      <c r="H3" s="156"/>
      <c r="I3" s="145"/>
      <c r="J3" s="145"/>
      <c r="K3" s="145"/>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row>
    <row r="4" spans="1:51" ht="15">
      <c r="A4" s="569" t="s">
        <v>202</v>
      </c>
      <c r="B4" s="160" t="s">
        <v>216</v>
      </c>
      <c r="C4" s="160"/>
      <c r="D4" s="161"/>
      <c r="E4" s="162"/>
      <c r="F4" s="162"/>
      <c r="G4" s="168"/>
      <c r="H4" s="571" t="s">
        <v>185</v>
      </c>
      <c r="I4" s="571"/>
      <c r="J4" s="571" t="s">
        <v>186</v>
      </c>
      <c r="K4" s="571"/>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row>
    <row r="5" spans="1:51" ht="15">
      <c r="A5" s="570"/>
      <c r="B5" s="158"/>
      <c r="C5" s="163"/>
      <c r="D5" s="164"/>
      <c r="E5" s="165"/>
      <c r="F5" s="165"/>
      <c r="G5" s="169"/>
      <c r="H5" s="572" t="s">
        <v>187</v>
      </c>
      <c r="I5" s="572"/>
      <c r="J5" s="571" t="s">
        <v>187</v>
      </c>
      <c r="K5" s="571"/>
      <c r="L5" s="567" t="s">
        <v>236</v>
      </c>
      <c r="M5" s="567"/>
      <c r="N5" s="567" t="s">
        <v>237</v>
      </c>
      <c r="O5" s="567"/>
      <c r="P5" s="567" t="s">
        <v>236</v>
      </c>
      <c r="Q5" s="567"/>
      <c r="R5" s="567" t="s">
        <v>237</v>
      </c>
      <c r="S5" s="567"/>
      <c r="T5" s="567" t="s">
        <v>236</v>
      </c>
      <c r="U5" s="567"/>
      <c r="V5" s="567" t="s">
        <v>237</v>
      </c>
      <c r="W5" s="567"/>
      <c r="X5" s="567" t="s">
        <v>236</v>
      </c>
      <c r="Y5" s="567"/>
      <c r="Z5" s="567" t="s">
        <v>237</v>
      </c>
      <c r="AA5" s="567"/>
      <c r="AB5" s="567" t="s">
        <v>236</v>
      </c>
      <c r="AC5" s="567"/>
      <c r="AD5" s="567" t="s">
        <v>237</v>
      </c>
      <c r="AE5" s="567"/>
      <c r="AF5" s="567" t="s">
        <v>236</v>
      </c>
      <c r="AG5" s="567"/>
      <c r="AH5" s="567" t="s">
        <v>237</v>
      </c>
      <c r="AI5" s="567"/>
      <c r="AJ5" s="567" t="s">
        <v>236</v>
      </c>
      <c r="AK5" s="567"/>
      <c r="AL5" s="567" t="s">
        <v>237</v>
      </c>
      <c r="AM5" s="567"/>
      <c r="AN5" s="567" t="s">
        <v>236</v>
      </c>
      <c r="AO5" s="567"/>
      <c r="AP5" s="567" t="s">
        <v>237</v>
      </c>
      <c r="AQ5" s="567"/>
      <c r="AR5" s="567" t="s">
        <v>236</v>
      </c>
      <c r="AS5" s="567"/>
      <c r="AT5" s="567" t="s">
        <v>237</v>
      </c>
      <c r="AU5" s="567"/>
      <c r="AV5" s="567" t="s">
        <v>236</v>
      </c>
      <c r="AW5" s="567"/>
      <c r="AX5" s="567" t="s">
        <v>237</v>
      </c>
      <c r="AY5" s="567"/>
    </row>
    <row r="6" spans="1:50" ht="15">
      <c r="A6" s="144"/>
      <c r="B6" s="172" t="s">
        <v>129</v>
      </c>
      <c r="L6" t="s">
        <v>142</v>
      </c>
      <c r="N6" t="s">
        <v>143</v>
      </c>
      <c r="P6" t="s">
        <v>142</v>
      </c>
      <c r="R6" t="s">
        <v>143</v>
      </c>
      <c r="T6" t="s">
        <v>142</v>
      </c>
      <c r="V6" t="s">
        <v>143</v>
      </c>
      <c r="X6" t="s">
        <v>142</v>
      </c>
      <c r="Z6" t="s">
        <v>143</v>
      </c>
      <c r="AB6" s="566" t="s">
        <v>142</v>
      </c>
      <c r="AC6" s="566"/>
      <c r="AD6" s="566" t="s">
        <v>143</v>
      </c>
      <c r="AE6" s="566"/>
      <c r="AF6" t="s">
        <v>142</v>
      </c>
      <c r="AH6" t="s">
        <v>143</v>
      </c>
      <c r="AJ6" t="s">
        <v>142</v>
      </c>
      <c r="AL6" t="s">
        <v>143</v>
      </c>
      <c r="AN6" t="s">
        <v>142</v>
      </c>
      <c r="AP6" t="s">
        <v>143</v>
      </c>
      <c r="AR6" t="s">
        <v>142</v>
      </c>
      <c r="AT6" t="s">
        <v>143</v>
      </c>
      <c r="AV6" t="s">
        <v>142</v>
      </c>
      <c r="AX6" t="s">
        <v>143</v>
      </c>
    </row>
    <row r="7" spans="1:31" ht="15" customHeight="1">
      <c r="A7" s="144"/>
      <c r="B7" t="s">
        <v>241</v>
      </c>
      <c r="C7" t="s">
        <v>130</v>
      </c>
      <c r="AB7" s="131"/>
      <c r="AC7" s="131"/>
      <c r="AD7" s="131"/>
      <c r="AE7" s="132"/>
    </row>
    <row r="8" spans="1:51" ht="15">
      <c r="A8" s="144"/>
      <c r="C8" t="s">
        <v>211</v>
      </c>
      <c r="D8" t="s">
        <v>131</v>
      </c>
      <c r="H8" s="146">
        <v>0</v>
      </c>
      <c r="I8" s="146"/>
      <c r="J8" s="146">
        <v>0</v>
      </c>
      <c r="K8" s="146"/>
      <c r="L8" s="146">
        <v>0</v>
      </c>
      <c r="M8" s="146"/>
      <c r="N8" s="146">
        <v>0</v>
      </c>
      <c r="O8" s="146"/>
      <c r="P8" s="146">
        <v>0</v>
      </c>
      <c r="Q8" s="146"/>
      <c r="R8" s="146">
        <v>0</v>
      </c>
      <c r="S8" s="146"/>
      <c r="T8" s="146">
        <v>0</v>
      </c>
      <c r="U8" s="146"/>
      <c r="V8" s="146">
        <v>0</v>
      </c>
      <c r="W8" s="146"/>
      <c r="X8" s="146">
        <v>0</v>
      </c>
      <c r="Y8" s="146"/>
      <c r="Z8" s="146">
        <v>0</v>
      </c>
      <c r="AA8" s="146"/>
      <c r="AB8" s="134">
        <v>0</v>
      </c>
      <c r="AC8" s="134"/>
      <c r="AD8" s="134">
        <v>0</v>
      </c>
      <c r="AE8" s="147"/>
      <c r="AF8" s="146">
        <v>0</v>
      </c>
      <c r="AG8" s="146"/>
      <c r="AH8" s="146">
        <v>0</v>
      </c>
      <c r="AI8" s="146"/>
      <c r="AJ8" s="146">
        <v>0</v>
      </c>
      <c r="AK8" s="146"/>
      <c r="AL8" s="146">
        <v>0</v>
      </c>
      <c r="AM8" s="146"/>
      <c r="AN8" s="146">
        <v>0</v>
      </c>
      <c r="AO8" s="146"/>
      <c r="AP8" s="146">
        <v>0</v>
      </c>
      <c r="AQ8" s="146"/>
      <c r="AR8" s="146">
        <v>0</v>
      </c>
      <c r="AS8" s="146"/>
      <c r="AT8" s="146">
        <v>0</v>
      </c>
      <c r="AU8" s="146"/>
      <c r="AV8" s="146">
        <v>0</v>
      </c>
      <c r="AW8" s="146"/>
      <c r="AX8" s="146">
        <v>0</v>
      </c>
      <c r="AY8" s="146"/>
    </row>
    <row r="9" spans="1:51" ht="15">
      <c r="A9" s="144"/>
      <c r="C9" t="s">
        <v>212</v>
      </c>
      <c r="D9" t="s">
        <v>132</v>
      </c>
      <c r="H9" s="146">
        <v>0</v>
      </c>
      <c r="I9" s="146"/>
      <c r="J9" s="146">
        <v>0</v>
      </c>
      <c r="K9" s="146"/>
      <c r="L9" s="146">
        <v>0</v>
      </c>
      <c r="M9" s="146"/>
      <c r="N9" s="146">
        <v>0</v>
      </c>
      <c r="O9" s="146"/>
      <c r="P9" s="146">
        <v>0</v>
      </c>
      <c r="Q9" s="146"/>
      <c r="R9" s="146">
        <v>0</v>
      </c>
      <c r="S9" s="146"/>
      <c r="T9" s="146">
        <v>0</v>
      </c>
      <c r="U9" s="146"/>
      <c r="V9" s="146">
        <v>0</v>
      </c>
      <c r="W9" s="146"/>
      <c r="X9" s="146">
        <v>0</v>
      </c>
      <c r="Y9" s="146"/>
      <c r="Z9" s="146">
        <v>0</v>
      </c>
      <c r="AA9" s="146"/>
      <c r="AB9" s="134">
        <v>0</v>
      </c>
      <c r="AC9" s="134"/>
      <c r="AD9" s="134">
        <v>0</v>
      </c>
      <c r="AE9" s="147"/>
      <c r="AF9" s="146">
        <v>0</v>
      </c>
      <c r="AG9" s="146"/>
      <c r="AH9" s="146">
        <v>0</v>
      </c>
      <c r="AI9" s="146"/>
      <c r="AJ9" s="146">
        <v>0</v>
      </c>
      <c r="AK9" s="146"/>
      <c r="AL9" s="146">
        <v>0</v>
      </c>
      <c r="AM9" s="146"/>
      <c r="AN9" s="146">
        <v>0</v>
      </c>
      <c r="AO9" s="146"/>
      <c r="AP9" s="146">
        <v>0</v>
      </c>
      <c r="AQ9" s="146"/>
      <c r="AR9" s="146">
        <v>0</v>
      </c>
      <c r="AS9" s="146"/>
      <c r="AT9" s="146">
        <v>0</v>
      </c>
      <c r="AU9" s="146"/>
      <c r="AV9" s="146">
        <v>0</v>
      </c>
      <c r="AW9" s="146"/>
      <c r="AX9" s="146">
        <v>0</v>
      </c>
      <c r="AY9" s="146"/>
    </row>
    <row r="10" spans="1:51" ht="15">
      <c r="A10" s="144"/>
      <c r="C10" t="s">
        <v>213</v>
      </c>
      <c r="D10" t="s">
        <v>133</v>
      </c>
      <c r="H10" s="146">
        <v>0</v>
      </c>
      <c r="I10" s="146"/>
      <c r="J10" s="146">
        <v>0</v>
      </c>
      <c r="K10" s="146"/>
      <c r="L10" s="146">
        <v>0</v>
      </c>
      <c r="M10" s="146"/>
      <c r="N10" s="146">
        <v>0</v>
      </c>
      <c r="O10" s="146"/>
      <c r="P10" s="146">
        <v>0</v>
      </c>
      <c r="Q10" s="146"/>
      <c r="R10" s="146">
        <v>0</v>
      </c>
      <c r="S10" s="146"/>
      <c r="T10" s="146">
        <v>0</v>
      </c>
      <c r="U10" s="146"/>
      <c r="V10" s="146">
        <v>0</v>
      </c>
      <c r="W10" s="146"/>
      <c r="X10" s="146">
        <v>0</v>
      </c>
      <c r="Y10" s="146"/>
      <c r="Z10" s="146">
        <v>0</v>
      </c>
      <c r="AA10" s="146"/>
      <c r="AB10" s="134">
        <v>0</v>
      </c>
      <c r="AC10" s="134"/>
      <c r="AD10" s="134">
        <v>0</v>
      </c>
      <c r="AE10" s="147"/>
      <c r="AF10" s="146">
        <v>0</v>
      </c>
      <c r="AG10" s="146"/>
      <c r="AH10" s="146">
        <v>0</v>
      </c>
      <c r="AI10" s="146"/>
      <c r="AJ10" s="146">
        <v>0</v>
      </c>
      <c r="AK10" s="146"/>
      <c r="AL10" s="146">
        <v>0</v>
      </c>
      <c r="AM10" s="146"/>
      <c r="AN10" s="146">
        <v>0</v>
      </c>
      <c r="AO10" s="146"/>
      <c r="AP10" s="146">
        <v>0</v>
      </c>
      <c r="AQ10" s="146"/>
      <c r="AR10" s="146">
        <v>0</v>
      </c>
      <c r="AS10" s="146"/>
      <c r="AT10" s="146">
        <v>0</v>
      </c>
      <c r="AU10" s="146"/>
      <c r="AV10" s="146">
        <v>0</v>
      </c>
      <c r="AW10" s="146"/>
      <c r="AX10" s="146">
        <v>0</v>
      </c>
      <c r="AY10" s="146"/>
    </row>
    <row r="11" spans="1:51" ht="15">
      <c r="A11" s="144"/>
      <c r="C11" t="s">
        <v>210</v>
      </c>
      <c r="D11" t="s">
        <v>134</v>
      </c>
      <c r="H11" s="146">
        <v>0</v>
      </c>
      <c r="I11" s="146"/>
      <c r="J11" s="146">
        <v>0</v>
      </c>
      <c r="K11" s="146"/>
      <c r="L11" s="146">
        <v>0</v>
      </c>
      <c r="M11" s="146"/>
      <c r="N11" s="146">
        <v>0</v>
      </c>
      <c r="O11" s="146"/>
      <c r="P11" s="146">
        <v>0</v>
      </c>
      <c r="Q11" s="146"/>
      <c r="R11" s="146">
        <v>0</v>
      </c>
      <c r="S11" s="146"/>
      <c r="T11" s="146">
        <v>0</v>
      </c>
      <c r="U11" s="146"/>
      <c r="V11" s="146">
        <v>0</v>
      </c>
      <c r="W11" s="146"/>
      <c r="X11" s="146">
        <v>0</v>
      </c>
      <c r="Y11" s="146"/>
      <c r="Z11" s="146">
        <v>0</v>
      </c>
      <c r="AA11" s="146"/>
      <c r="AB11" s="134">
        <v>0</v>
      </c>
      <c r="AC11" s="134"/>
      <c r="AD11" s="134">
        <v>0</v>
      </c>
      <c r="AE11" s="147"/>
      <c r="AF11" s="146">
        <v>0</v>
      </c>
      <c r="AG11" s="146"/>
      <c r="AH11" s="146">
        <v>0</v>
      </c>
      <c r="AI11" s="146"/>
      <c r="AJ11" s="146">
        <v>0</v>
      </c>
      <c r="AK11" s="146"/>
      <c r="AL11" s="146">
        <v>0</v>
      </c>
      <c r="AM11" s="146"/>
      <c r="AN11" s="146">
        <v>0</v>
      </c>
      <c r="AO11" s="146"/>
      <c r="AP11" s="146">
        <v>0</v>
      </c>
      <c r="AQ11" s="146"/>
      <c r="AR11" s="146">
        <v>0</v>
      </c>
      <c r="AS11" s="146"/>
      <c r="AT11" s="146">
        <v>0</v>
      </c>
      <c r="AU11" s="146"/>
      <c r="AV11" s="146">
        <v>0</v>
      </c>
      <c r="AW11" s="146"/>
      <c r="AX11" s="146">
        <v>0</v>
      </c>
      <c r="AY11" s="146"/>
    </row>
    <row r="12" spans="1:51" ht="15">
      <c r="A12" s="144"/>
      <c r="C12" t="s">
        <v>136</v>
      </c>
      <c r="D12" t="s">
        <v>135</v>
      </c>
      <c r="H12" s="146">
        <v>0</v>
      </c>
      <c r="I12" s="146"/>
      <c r="J12" s="146">
        <v>0</v>
      </c>
      <c r="K12" s="146"/>
      <c r="L12" s="146">
        <v>0</v>
      </c>
      <c r="M12" s="146"/>
      <c r="N12" s="146">
        <v>0</v>
      </c>
      <c r="O12" s="146"/>
      <c r="P12" s="146">
        <v>0</v>
      </c>
      <c r="Q12" s="146"/>
      <c r="R12" s="146">
        <v>0</v>
      </c>
      <c r="S12" s="146"/>
      <c r="T12" s="146">
        <v>0</v>
      </c>
      <c r="U12" s="146"/>
      <c r="V12" s="146">
        <v>0</v>
      </c>
      <c r="W12" s="146"/>
      <c r="X12" s="146">
        <v>0</v>
      </c>
      <c r="Y12" s="146"/>
      <c r="Z12" s="146">
        <v>0</v>
      </c>
      <c r="AA12" s="146"/>
      <c r="AB12" s="134">
        <v>0</v>
      </c>
      <c r="AC12" s="134"/>
      <c r="AD12" s="134">
        <v>0</v>
      </c>
      <c r="AE12" s="147"/>
      <c r="AF12" s="146">
        <v>0</v>
      </c>
      <c r="AG12" s="146"/>
      <c r="AH12" s="146">
        <v>0</v>
      </c>
      <c r="AI12" s="146"/>
      <c r="AJ12" s="146">
        <v>0</v>
      </c>
      <c r="AK12" s="146"/>
      <c r="AL12" s="146">
        <v>0</v>
      </c>
      <c r="AM12" s="146"/>
      <c r="AN12" s="146">
        <v>0</v>
      </c>
      <c r="AO12" s="146"/>
      <c r="AP12" s="146">
        <v>0</v>
      </c>
      <c r="AQ12" s="146"/>
      <c r="AR12" s="146">
        <v>0</v>
      </c>
      <c r="AS12" s="146"/>
      <c r="AT12" s="146">
        <v>0</v>
      </c>
      <c r="AU12" s="146"/>
      <c r="AV12" s="146">
        <v>0</v>
      </c>
      <c r="AW12" s="146"/>
      <c r="AX12" s="146">
        <v>0</v>
      </c>
      <c r="AY12" s="146"/>
    </row>
    <row r="13" spans="1:51" ht="15">
      <c r="A13" s="144"/>
      <c r="C13" t="s">
        <v>214</v>
      </c>
      <c r="D13" t="s">
        <v>137</v>
      </c>
      <c r="H13" s="146">
        <v>0</v>
      </c>
      <c r="I13" s="146"/>
      <c r="J13" s="146">
        <v>0</v>
      </c>
      <c r="K13" s="146"/>
      <c r="L13" s="146">
        <v>0</v>
      </c>
      <c r="M13" s="146"/>
      <c r="N13" s="146">
        <v>0</v>
      </c>
      <c r="O13" s="146"/>
      <c r="P13" s="146">
        <v>0</v>
      </c>
      <c r="Q13" s="146"/>
      <c r="R13" s="146">
        <v>0</v>
      </c>
      <c r="S13" s="146"/>
      <c r="T13" s="146">
        <v>0</v>
      </c>
      <c r="U13" s="146"/>
      <c r="V13" s="146">
        <v>0</v>
      </c>
      <c r="W13" s="146"/>
      <c r="X13" s="146">
        <v>0</v>
      </c>
      <c r="Y13" s="146"/>
      <c r="Z13" s="146">
        <v>0</v>
      </c>
      <c r="AA13" s="146"/>
      <c r="AB13" s="134">
        <v>0</v>
      </c>
      <c r="AC13" s="134"/>
      <c r="AD13" s="134">
        <v>0</v>
      </c>
      <c r="AE13" s="147"/>
      <c r="AF13" s="146">
        <v>0</v>
      </c>
      <c r="AG13" s="146"/>
      <c r="AH13" s="146">
        <v>0</v>
      </c>
      <c r="AI13" s="146"/>
      <c r="AJ13" s="146">
        <v>0</v>
      </c>
      <c r="AK13" s="146"/>
      <c r="AL13" s="146">
        <v>0</v>
      </c>
      <c r="AM13" s="146"/>
      <c r="AN13" s="146">
        <v>0</v>
      </c>
      <c r="AO13" s="146"/>
      <c r="AP13" s="146">
        <v>0</v>
      </c>
      <c r="AQ13" s="146"/>
      <c r="AR13" s="146">
        <v>0</v>
      </c>
      <c r="AS13" s="146"/>
      <c r="AT13" s="146">
        <v>0</v>
      </c>
      <c r="AU13" s="146"/>
      <c r="AV13" s="146">
        <v>0</v>
      </c>
      <c r="AW13" s="146"/>
      <c r="AX13" s="146">
        <v>0</v>
      </c>
      <c r="AY13" s="146"/>
    </row>
    <row r="14" spans="1:51" ht="15">
      <c r="A14" s="144"/>
      <c r="C14" t="s">
        <v>138</v>
      </c>
      <c r="D14" t="s">
        <v>139</v>
      </c>
      <c r="H14" s="146">
        <v>0</v>
      </c>
      <c r="I14" s="146"/>
      <c r="J14" s="146">
        <v>0</v>
      </c>
      <c r="K14" s="146"/>
      <c r="L14" s="146">
        <v>0</v>
      </c>
      <c r="M14" s="146"/>
      <c r="N14" s="146">
        <v>0</v>
      </c>
      <c r="O14" s="146"/>
      <c r="P14" s="146">
        <v>0</v>
      </c>
      <c r="Q14" s="146"/>
      <c r="R14" s="146">
        <v>0</v>
      </c>
      <c r="S14" s="146"/>
      <c r="T14" s="146">
        <v>0</v>
      </c>
      <c r="U14" s="146"/>
      <c r="V14" s="146">
        <v>0</v>
      </c>
      <c r="W14" s="146"/>
      <c r="X14" s="146">
        <v>0</v>
      </c>
      <c r="Y14" s="146"/>
      <c r="Z14" s="146">
        <v>0</v>
      </c>
      <c r="AA14" s="146"/>
      <c r="AB14" s="134">
        <v>0</v>
      </c>
      <c r="AC14" s="134"/>
      <c r="AD14" s="134">
        <v>0</v>
      </c>
      <c r="AE14" s="147"/>
      <c r="AF14" s="146">
        <v>0</v>
      </c>
      <c r="AG14" s="146"/>
      <c r="AH14" s="146">
        <v>0</v>
      </c>
      <c r="AI14" s="146"/>
      <c r="AJ14" s="146">
        <v>0</v>
      </c>
      <c r="AK14" s="146"/>
      <c r="AL14" s="146">
        <v>0</v>
      </c>
      <c r="AM14" s="146"/>
      <c r="AN14" s="146">
        <v>0</v>
      </c>
      <c r="AO14" s="146"/>
      <c r="AP14" s="146">
        <v>0</v>
      </c>
      <c r="AQ14" s="146"/>
      <c r="AR14" s="146">
        <v>0</v>
      </c>
      <c r="AS14" s="146"/>
      <c r="AT14" s="146">
        <v>0</v>
      </c>
      <c r="AU14" s="146"/>
      <c r="AV14" s="146">
        <v>0</v>
      </c>
      <c r="AW14" s="146"/>
      <c r="AX14" s="146">
        <v>0</v>
      </c>
      <c r="AY14" s="146"/>
    </row>
    <row r="15" spans="1:51" ht="15">
      <c r="A15" s="144"/>
      <c r="C15" t="s">
        <v>140</v>
      </c>
      <c r="D15" t="s">
        <v>215</v>
      </c>
      <c r="H15" s="166">
        <v>0</v>
      </c>
      <c r="I15" s="146"/>
      <c r="J15" s="166">
        <v>0</v>
      </c>
      <c r="K15" s="146"/>
      <c r="L15" s="146">
        <v>0</v>
      </c>
      <c r="M15" s="146"/>
      <c r="N15" s="146">
        <v>0</v>
      </c>
      <c r="O15" s="146"/>
      <c r="P15" s="146">
        <v>0</v>
      </c>
      <c r="Q15" s="146"/>
      <c r="R15" s="146">
        <v>0</v>
      </c>
      <c r="S15" s="146"/>
      <c r="T15" s="146">
        <v>0</v>
      </c>
      <c r="U15" s="146"/>
      <c r="V15" s="146">
        <v>0</v>
      </c>
      <c r="W15" s="146"/>
      <c r="X15" s="146">
        <v>0</v>
      </c>
      <c r="Y15" s="146"/>
      <c r="Z15" s="146">
        <v>0</v>
      </c>
      <c r="AA15" s="146"/>
      <c r="AB15" s="148">
        <v>0</v>
      </c>
      <c r="AC15" s="134"/>
      <c r="AD15" s="148">
        <v>0</v>
      </c>
      <c r="AE15" s="147"/>
      <c r="AF15" s="146">
        <v>0</v>
      </c>
      <c r="AG15" s="146"/>
      <c r="AH15" s="146">
        <v>0</v>
      </c>
      <c r="AI15" s="146"/>
      <c r="AJ15" s="146">
        <v>0</v>
      </c>
      <c r="AK15" s="146"/>
      <c r="AL15" s="146">
        <v>0</v>
      </c>
      <c r="AM15" s="146"/>
      <c r="AN15" s="146">
        <v>0</v>
      </c>
      <c r="AO15" s="146"/>
      <c r="AP15" s="146">
        <v>0</v>
      </c>
      <c r="AQ15" s="146"/>
      <c r="AR15" s="146">
        <v>0</v>
      </c>
      <c r="AS15" s="146"/>
      <c r="AT15" s="146">
        <v>0</v>
      </c>
      <c r="AU15" s="146"/>
      <c r="AV15" s="146">
        <v>0</v>
      </c>
      <c r="AW15" s="146"/>
      <c r="AX15" s="146">
        <v>0</v>
      </c>
      <c r="AY15" s="146"/>
    </row>
    <row r="16" spans="1:51" ht="15">
      <c r="A16" s="144"/>
      <c r="H16" s="146"/>
      <c r="I16" s="146">
        <v>0</v>
      </c>
      <c r="J16" s="146"/>
      <c r="K16" s="146">
        <v>0</v>
      </c>
      <c r="L16" s="146"/>
      <c r="M16" s="146">
        <v>0</v>
      </c>
      <c r="N16" s="146"/>
      <c r="O16" s="146">
        <v>0</v>
      </c>
      <c r="P16" s="146"/>
      <c r="Q16" s="146">
        <v>0</v>
      </c>
      <c r="R16" s="146"/>
      <c r="S16" s="146">
        <v>0</v>
      </c>
      <c r="T16" s="146"/>
      <c r="U16" s="146">
        <v>0</v>
      </c>
      <c r="V16" s="146"/>
      <c r="W16" s="146">
        <v>0</v>
      </c>
      <c r="X16" s="146"/>
      <c r="Y16" s="146">
        <v>0</v>
      </c>
      <c r="Z16" s="146"/>
      <c r="AA16" s="146">
        <v>0</v>
      </c>
      <c r="AB16" s="134"/>
      <c r="AC16" s="134">
        <f>SUM(AB8:AB15)</f>
        <v>0</v>
      </c>
      <c r="AD16" s="134"/>
      <c r="AE16" s="147">
        <f>SUM(AD8:AD15)</f>
        <v>0</v>
      </c>
      <c r="AF16" s="146"/>
      <c r="AG16" s="146">
        <v>0</v>
      </c>
      <c r="AH16" s="146"/>
      <c r="AI16" s="146">
        <v>0</v>
      </c>
      <c r="AJ16" s="146"/>
      <c r="AK16" s="146">
        <v>0</v>
      </c>
      <c r="AL16" s="146"/>
      <c r="AM16" s="146">
        <v>0</v>
      </c>
      <c r="AN16" s="146"/>
      <c r="AO16" s="146">
        <v>0</v>
      </c>
      <c r="AP16" s="146"/>
      <c r="AQ16" s="146">
        <v>0</v>
      </c>
      <c r="AR16" s="146"/>
      <c r="AS16" s="146">
        <v>0</v>
      </c>
      <c r="AT16" s="146"/>
      <c r="AU16" s="146">
        <v>0</v>
      </c>
      <c r="AV16" s="146"/>
      <c r="AW16" s="146">
        <v>0</v>
      </c>
      <c r="AX16" s="146"/>
      <c r="AY16" s="146">
        <v>0</v>
      </c>
    </row>
    <row r="17" spans="1:51" ht="15">
      <c r="A17" s="144"/>
      <c r="B17" t="s">
        <v>242</v>
      </c>
      <c r="C17" t="s">
        <v>141</v>
      </c>
      <c r="H17" s="146"/>
      <c r="I17" s="146"/>
      <c r="J17" s="146"/>
      <c r="K17" s="146"/>
      <c r="L17" s="146"/>
      <c r="M17" s="146"/>
      <c r="N17" s="146"/>
      <c r="O17" s="146"/>
      <c r="P17" s="146"/>
      <c r="Q17" s="146"/>
      <c r="R17" s="146"/>
      <c r="S17" s="146"/>
      <c r="T17" s="146"/>
      <c r="U17" s="146"/>
      <c r="V17" s="146"/>
      <c r="W17" s="146"/>
      <c r="X17" s="146"/>
      <c r="Y17" s="146"/>
      <c r="Z17" s="146"/>
      <c r="AA17" s="146"/>
      <c r="AB17" s="134"/>
      <c r="AC17" s="134"/>
      <c r="AD17" s="134"/>
      <c r="AE17" s="147"/>
      <c r="AF17" s="146"/>
      <c r="AG17" s="146"/>
      <c r="AH17" s="146"/>
      <c r="AI17" s="146"/>
      <c r="AJ17" s="146"/>
      <c r="AK17" s="146"/>
      <c r="AL17" s="146"/>
      <c r="AM17" s="146"/>
      <c r="AN17" s="146"/>
      <c r="AO17" s="146"/>
      <c r="AP17" s="146"/>
      <c r="AQ17" s="146"/>
      <c r="AR17" s="146"/>
      <c r="AS17" s="146"/>
      <c r="AT17" s="146"/>
      <c r="AU17" s="146"/>
      <c r="AV17" s="146"/>
      <c r="AW17" s="146"/>
      <c r="AX17" s="146"/>
      <c r="AY17" s="146"/>
    </row>
    <row r="18" spans="1:51" ht="15">
      <c r="A18" s="144"/>
      <c r="C18" t="s">
        <v>211</v>
      </c>
      <c r="D18" t="s">
        <v>131</v>
      </c>
      <c r="H18" s="146">
        <v>0</v>
      </c>
      <c r="I18" s="146"/>
      <c r="J18" s="146">
        <v>0</v>
      </c>
      <c r="K18" s="146"/>
      <c r="L18" s="146">
        <v>0</v>
      </c>
      <c r="M18" s="146"/>
      <c r="N18" s="146">
        <v>0</v>
      </c>
      <c r="O18" s="146"/>
      <c r="P18" s="146">
        <v>0</v>
      </c>
      <c r="Q18" s="146"/>
      <c r="R18" s="146">
        <v>0</v>
      </c>
      <c r="S18" s="146"/>
      <c r="T18" s="146">
        <v>0</v>
      </c>
      <c r="U18" s="146"/>
      <c r="V18" s="146">
        <v>0</v>
      </c>
      <c r="W18" s="146"/>
      <c r="X18" s="146">
        <v>0</v>
      </c>
      <c r="Y18" s="146"/>
      <c r="Z18" s="146">
        <v>0</v>
      </c>
      <c r="AA18" s="146"/>
      <c r="AB18" s="134">
        <v>0</v>
      </c>
      <c r="AC18" s="134"/>
      <c r="AD18" s="134">
        <v>0</v>
      </c>
      <c r="AE18" s="147"/>
      <c r="AF18" s="146">
        <v>0</v>
      </c>
      <c r="AG18" s="146"/>
      <c r="AH18" s="146">
        <v>0</v>
      </c>
      <c r="AI18" s="146"/>
      <c r="AJ18" s="146">
        <v>0</v>
      </c>
      <c r="AK18" s="146"/>
      <c r="AL18" s="146">
        <v>0</v>
      </c>
      <c r="AM18" s="146"/>
      <c r="AN18" s="146">
        <v>0</v>
      </c>
      <c r="AO18" s="146"/>
      <c r="AP18" s="146">
        <v>0</v>
      </c>
      <c r="AQ18" s="146"/>
      <c r="AR18" s="146">
        <v>0</v>
      </c>
      <c r="AS18" s="146"/>
      <c r="AT18" s="146">
        <v>0</v>
      </c>
      <c r="AU18" s="146"/>
      <c r="AV18" s="146">
        <v>0</v>
      </c>
      <c r="AW18" s="146"/>
      <c r="AX18" s="146">
        <v>0</v>
      </c>
      <c r="AY18" s="146"/>
    </row>
    <row r="19" spans="1:51" ht="15">
      <c r="A19" s="144"/>
      <c r="C19" t="s">
        <v>212</v>
      </c>
      <c r="D19" t="s">
        <v>132</v>
      </c>
      <c r="H19" s="146">
        <v>0</v>
      </c>
      <c r="I19" s="146"/>
      <c r="J19" s="146">
        <v>0</v>
      </c>
      <c r="K19" s="146"/>
      <c r="L19" s="146">
        <v>0</v>
      </c>
      <c r="M19" s="146"/>
      <c r="N19" s="146">
        <v>0</v>
      </c>
      <c r="O19" s="146"/>
      <c r="P19" s="146">
        <v>0</v>
      </c>
      <c r="Q19" s="146"/>
      <c r="R19" s="146">
        <v>0</v>
      </c>
      <c r="S19" s="146"/>
      <c r="T19" s="146">
        <v>0</v>
      </c>
      <c r="U19" s="146"/>
      <c r="V19" s="146">
        <v>0</v>
      </c>
      <c r="W19" s="146"/>
      <c r="X19" s="146">
        <v>0</v>
      </c>
      <c r="Y19" s="146"/>
      <c r="Z19" s="146">
        <v>0</v>
      </c>
      <c r="AA19" s="146"/>
      <c r="AB19" s="134">
        <v>0</v>
      </c>
      <c r="AC19" s="134"/>
      <c r="AD19" s="134">
        <v>0</v>
      </c>
      <c r="AE19" s="147"/>
      <c r="AF19" s="146">
        <v>0</v>
      </c>
      <c r="AG19" s="146"/>
      <c r="AH19" s="146">
        <v>0</v>
      </c>
      <c r="AI19" s="146"/>
      <c r="AJ19" s="146">
        <v>0</v>
      </c>
      <c r="AK19" s="146"/>
      <c r="AL19" s="146">
        <v>0</v>
      </c>
      <c r="AM19" s="146"/>
      <c r="AN19" s="146">
        <v>0</v>
      </c>
      <c r="AO19" s="146"/>
      <c r="AP19" s="146">
        <v>0</v>
      </c>
      <c r="AQ19" s="146"/>
      <c r="AR19" s="146">
        <v>0</v>
      </c>
      <c r="AS19" s="146"/>
      <c r="AT19" s="146">
        <v>0</v>
      </c>
      <c r="AU19" s="146"/>
      <c r="AV19" s="146">
        <v>0</v>
      </c>
      <c r="AW19" s="146"/>
      <c r="AX19" s="146">
        <v>0</v>
      </c>
      <c r="AY19" s="146"/>
    </row>
    <row r="20" spans="1:51" ht="15">
      <c r="A20" s="144"/>
      <c r="C20" t="s">
        <v>213</v>
      </c>
      <c r="D20" t="s">
        <v>133</v>
      </c>
      <c r="H20" s="146">
        <v>0</v>
      </c>
      <c r="I20" s="146"/>
      <c r="J20" s="146">
        <v>0</v>
      </c>
      <c r="K20" s="146"/>
      <c r="L20" s="146">
        <v>0</v>
      </c>
      <c r="M20" s="146"/>
      <c r="N20" s="146">
        <v>0</v>
      </c>
      <c r="O20" s="146"/>
      <c r="P20" s="146">
        <v>0</v>
      </c>
      <c r="Q20" s="146"/>
      <c r="R20" s="146">
        <v>0</v>
      </c>
      <c r="S20" s="146"/>
      <c r="T20" s="146">
        <v>0</v>
      </c>
      <c r="U20" s="146"/>
      <c r="V20" s="146">
        <v>0</v>
      </c>
      <c r="W20" s="146"/>
      <c r="X20" s="146">
        <v>0</v>
      </c>
      <c r="Y20" s="146"/>
      <c r="Z20" s="146">
        <v>0</v>
      </c>
      <c r="AA20" s="146"/>
      <c r="AB20" s="134">
        <v>0</v>
      </c>
      <c r="AC20" s="134"/>
      <c r="AD20" s="134">
        <v>0</v>
      </c>
      <c r="AE20" s="147"/>
      <c r="AF20" s="146">
        <v>0</v>
      </c>
      <c r="AG20" s="146"/>
      <c r="AH20" s="146">
        <v>0</v>
      </c>
      <c r="AI20" s="146"/>
      <c r="AJ20" s="146">
        <v>0</v>
      </c>
      <c r="AK20" s="146"/>
      <c r="AL20" s="146">
        <v>0</v>
      </c>
      <c r="AM20" s="146"/>
      <c r="AN20" s="146">
        <v>0</v>
      </c>
      <c r="AO20" s="146"/>
      <c r="AP20" s="146">
        <v>0</v>
      </c>
      <c r="AQ20" s="146"/>
      <c r="AR20" s="146">
        <v>0</v>
      </c>
      <c r="AS20" s="146"/>
      <c r="AT20" s="146">
        <v>0</v>
      </c>
      <c r="AU20" s="146"/>
      <c r="AV20" s="146">
        <v>0</v>
      </c>
      <c r="AW20" s="146"/>
      <c r="AX20" s="146">
        <v>0</v>
      </c>
      <c r="AY20" s="146"/>
    </row>
    <row r="21" spans="1:51" ht="15">
      <c r="A21" s="144"/>
      <c r="C21" t="s">
        <v>210</v>
      </c>
      <c r="D21" t="s">
        <v>134</v>
      </c>
      <c r="H21" s="146">
        <v>0</v>
      </c>
      <c r="I21" s="146"/>
      <c r="J21" s="146">
        <v>0</v>
      </c>
      <c r="K21" s="146"/>
      <c r="L21" s="146">
        <v>0</v>
      </c>
      <c r="M21" s="146"/>
      <c r="N21" s="146">
        <v>0</v>
      </c>
      <c r="O21" s="146"/>
      <c r="P21" s="146">
        <v>0</v>
      </c>
      <c r="Q21" s="146"/>
      <c r="R21" s="146">
        <v>0</v>
      </c>
      <c r="S21" s="146"/>
      <c r="T21" s="146">
        <v>0</v>
      </c>
      <c r="U21" s="146"/>
      <c r="V21" s="146">
        <v>0</v>
      </c>
      <c r="W21" s="146"/>
      <c r="X21" s="146">
        <v>0</v>
      </c>
      <c r="Y21" s="146"/>
      <c r="Z21" s="146">
        <v>0</v>
      </c>
      <c r="AA21" s="146"/>
      <c r="AB21" s="134">
        <v>0</v>
      </c>
      <c r="AC21" s="134"/>
      <c r="AD21" s="134">
        <v>0</v>
      </c>
      <c r="AE21" s="147"/>
      <c r="AF21" s="146">
        <v>0</v>
      </c>
      <c r="AG21" s="146"/>
      <c r="AH21" s="146">
        <v>0</v>
      </c>
      <c r="AI21" s="146"/>
      <c r="AJ21" s="146">
        <v>0</v>
      </c>
      <c r="AK21" s="146"/>
      <c r="AL21" s="146">
        <v>0</v>
      </c>
      <c r="AM21" s="146"/>
      <c r="AN21" s="146">
        <v>0</v>
      </c>
      <c r="AO21" s="146"/>
      <c r="AP21" s="146">
        <v>0</v>
      </c>
      <c r="AQ21" s="146"/>
      <c r="AR21" s="146">
        <v>0</v>
      </c>
      <c r="AS21" s="146"/>
      <c r="AT21" s="146">
        <v>0</v>
      </c>
      <c r="AU21" s="146"/>
      <c r="AV21" s="146">
        <v>0</v>
      </c>
      <c r="AW21" s="146"/>
      <c r="AX21" s="146">
        <v>0</v>
      </c>
      <c r="AY21" s="146"/>
    </row>
    <row r="22" spans="1:51" ht="15">
      <c r="A22" s="144"/>
      <c r="C22" t="s">
        <v>136</v>
      </c>
      <c r="D22" t="s">
        <v>135</v>
      </c>
      <c r="H22" s="146">
        <v>0</v>
      </c>
      <c r="I22" s="146"/>
      <c r="J22" s="146">
        <v>0</v>
      </c>
      <c r="K22" s="146"/>
      <c r="L22" s="146">
        <v>0</v>
      </c>
      <c r="M22" s="146"/>
      <c r="N22" s="146">
        <v>0</v>
      </c>
      <c r="O22" s="146"/>
      <c r="P22" s="146">
        <v>0</v>
      </c>
      <c r="Q22" s="146"/>
      <c r="R22" s="146">
        <v>0</v>
      </c>
      <c r="S22" s="146"/>
      <c r="T22" s="146">
        <v>0</v>
      </c>
      <c r="U22" s="146"/>
      <c r="V22" s="146">
        <v>0</v>
      </c>
      <c r="W22" s="146"/>
      <c r="X22" s="146">
        <v>0</v>
      </c>
      <c r="Y22" s="146"/>
      <c r="Z22" s="146">
        <v>0</v>
      </c>
      <c r="AA22" s="146"/>
      <c r="AB22" s="134">
        <v>0</v>
      </c>
      <c r="AC22" s="134"/>
      <c r="AD22" s="134">
        <v>0</v>
      </c>
      <c r="AE22" s="147"/>
      <c r="AF22" s="146">
        <v>0</v>
      </c>
      <c r="AG22" s="146"/>
      <c r="AH22" s="146">
        <v>0</v>
      </c>
      <c r="AI22" s="146"/>
      <c r="AJ22" s="146">
        <v>0</v>
      </c>
      <c r="AK22" s="146"/>
      <c r="AL22" s="146">
        <v>0</v>
      </c>
      <c r="AM22" s="146"/>
      <c r="AN22" s="146">
        <v>0</v>
      </c>
      <c r="AO22" s="146"/>
      <c r="AP22" s="146">
        <v>0</v>
      </c>
      <c r="AQ22" s="146"/>
      <c r="AR22" s="146">
        <v>0</v>
      </c>
      <c r="AS22" s="146"/>
      <c r="AT22" s="146">
        <v>0</v>
      </c>
      <c r="AU22" s="146"/>
      <c r="AV22" s="146">
        <v>0</v>
      </c>
      <c r="AW22" s="146"/>
      <c r="AX22" s="146">
        <v>0</v>
      </c>
      <c r="AY22" s="146"/>
    </row>
    <row r="23" spans="1:51" ht="15">
      <c r="A23" s="144"/>
      <c r="C23" t="s">
        <v>214</v>
      </c>
      <c r="D23" t="s">
        <v>137</v>
      </c>
      <c r="H23" s="146">
        <v>0</v>
      </c>
      <c r="I23" s="146"/>
      <c r="J23" s="146">
        <v>0</v>
      </c>
      <c r="K23" s="146"/>
      <c r="L23" s="146">
        <v>0</v>
      </c>
      <c r="M23" s="146"/>
      <c r="N23" s="146">
        <v>0</v>
      </c>
      <c r="O23" s="146"/>
      <c r="P23" s="146">
        <v>0</v>
      </c>
      <c r="Q23" s="146"/>
      <c r="R23" s="146">
        <v>0</v>
      </c>
      <c r="S23" s="146"/>
      <c r="T23" s="146">
        <v>0</v>
      </c>
      <c r="U23" s="146"/>
      <c r="V23" s="146">
        <v>0</v>
      </c>
      <c r="W23" s="146"/>
      <c r="X23" s="146">
        <v>0</v>
      </c>
      <c r="Y23" s="146"/>
      <c r="Z23" s="146">
        <v>0</v>
      </c>
      <c r="AA23" s="146"/>
      <c r="AB23" s="134">
        <v>0</v>
      </c>
      <c r="AC23" s="134"/>
      <c r="AD23" s="134">
        <v>0</v>
      </c>
      <c r="AE23" s="147"/>
      <c r="AF23" s="146">
        <v>0</v>
      </c>
      <c r="AG23" s="146"/>
      <c r="AH23" s="146">
        <v>0</v>
      </c>
      <c r="AI23" s="146"/>
      <c r="AJ23" s="146">
        <v>0</v>
      </c>
      <c r="AK23" s="146"/>
      <c r="AL23" s="146">
        <v>0</v>
      </c>
      <c r="AM23" s="146"/>
      <c r="AN23" s="146">
        <v>0</v>
      </c>
      <c r="AO23" s="146"/>
      <c r="AP23" s="146">
        <v>0</v>
      </c>
      <c r="AQ23" s="146"/>
      <c r="AR23" s="146">
        <v>0</v>
      </c>
      <c r="AS23" s="146"/>
      <c r="AT23" s="146">
        <v>0</v>
      </c>
      <c r="AU23" s="146"/>
      <c r="AV23" s="146">
        <v>0</v>
      </c>
      <c r="AW23" s="146"/>
      <c r="AX23" s="146">
        <v>0</v>
      </c>
      <c r="AY23" s="146"/>
    </row>
    <row r="24" spans="1:51" ht="15">
      <c r="A24" s="144"/>
      <c r="C24" t="s">
        <v>138</v>
      </c>
      <c r="D24" t="s">
        <v>148</v>
      </c>
      <c r="H24" s="146">
        <v>0</v>
      </c>
      <c r="I24" s="146"/>
      <c r="J24" s="146">
        <v>0</v>
      </c>
      <c r="K24" s="146"/>
      <c r="L24" s="146">
        <v>0</v>
      </c>
      <c r="M24" s="146"/>
      <c r="N24" s="146">
        <v>0</v>
      </c>
      <c r="O24" s="146"/>
      <c r="P24" s="146">
        <v>0</v>
      </c>
      <c r="Q24" s="146"/>
      <c r="R24" s="146">
        <v>0</v>
      </c>
      <c r="S24" s="146"/>
      <c r="T24" s="146">
        <v>0</v>
      </c>
      <c r="U24" s="146"/>
      <c r="V24" s="146">
        <v>0</v>
      </c>
      <c r="W24" s="146"/>
      <c r="X24" s="146">
        <v>0</v>
      </c>
      <c r="Y24" s="146"/>
      <c r="Z24" s="146">
        <v>0</v>
      </c>
      <c r="AA24" s="146"/>
      <c r="AB24" s="134">
        <v>0</v>
      </c>
      <c r="AC24" s="134"/>
      <c r="AD24" s="134">
        <v>0</v>
      </c>
      <c r="AE24" s="147"/>
      <c r="AF24" s="146">
        <v>0</v>
      </c>
      <c r="AG24" s="146"/>
      <c r="AH24" s="146">
        <v>0</v>
      </c>
      <c r="AI24" s="146"/>
      <c r="AJ24" s="146">
        <v>0</v>
      </c>
      <c r="AK24" s="146"/>
      <c r="AL24" s="146">
        <v>0</v>
      </c>
      <c r="AM24" s="146"/>
      <c r="AN24" s="146">
        <v>0</v>
      </c>
      <c r="AO24" s="146"/>
      <c r="AP24" s="146">
        <v>0</v>
      </c>
      <c r="AQ24" s="146"/>
      <c r="AR24" s="146">
        <v>0</v>
      </c>
      <c r="AS24" s="146"/>
      <c r="AT24" s="146">
        <v>0</v>
      </c>
      <c r="AU24" s="146"/>
      <c r="AV24" s="146">
        <v>0</v>
      </c>
      <c r="AW24" s="146"/>
      <c r="AX24" s="146">
        <v>0</v>
      </c>
      <c r="AY24" s="146"/>
    </row>
    <row r="25" spans="1:51" ht="15">
      <c r="A25" s="144"/>
      <c r="C25" t="s">
        <v>140</v>
      </c>
      <c r="D25" t="s">
        <v>215</v>
      </c>
      <c r="H25" s="166">
        <v>0</v>
      </c>
      <c r="I25" s="146"/>
      <c r="J25" s="166">
        <v>0</v>
      </c>
      <c r="K25" s="146"/>
      <c r="L25" s="146">
        <v>0</v>
      </c>
      <c r="M25" s="146"/>
      <c r="N25" s="146">
        <v>0</v>
      </c>
      <c r="O25" s="146"/>
      <c r="P25" s="146">
        <v>0</v>
      </c>
      <c r="Q25" s="146"/>
      <c r="R25" s="146">
        <v>0</v>
      </c>
      <c r="S25" s="146"/>
      <c r="T25" s="146">
        <v>0</v>
      </c>
      <c r="U25" s="146"/>
      <c r="V25" s="146">
        <v>0</v>
      </c>
      <c r="W25" s="146"/>
      <c r="X25" s="146">
        <v>0</v>
      </c>
      <c r="Y25" s="146"/>
      <c r="Z25" s="146">
        <v>0</v>
      </c>
      <c r="AA25" s="146"/>
      <c r="AB25" s="148">
        <v>0</v>
      </c>
      <c r="AC25" s="134"/>
      <c r="AD25" s="148">
        <v>0</v>
      </c>
      <c r="AE25" s="147"/>
      <c r="AF25" s="146">
        <v>0</v>
      </c>
      <c r="AG25" s="146"/>
      <c r="AH25" s="146">
        <v>0</v>
      </c>
      <c r="AI25" s="146"/>
      <c r="AJ25" s="146">
        <v>0</v>
      </c>
      <c r="AK25" s="146"/>
      <c r="AL25" s="146">
        <v>0</v>
      </c>
      <c r="AM25" s="146"/>
      <c r="AN25" s="146">
        <v>0</v>
      </c>
      <c r="AO25" s="146"/>
      <c r="AP25" s="146">
        <v>0</v>
      </c>
      <c r="AQ25" s="146"/>
      <c r="AR25" s="146">
        <v>0</v>
      </c>
      <c r="AS25" s="146"/>
      <c r="AT25" s="146">
        <v>0</v>
      </c>
      <c r="AU25" s="146"/>
      <c r="AV25" s="146">
        <v>0</v>
      </c>
      <c r="AW25" s="146"/>
      <c r="AX25" s="146">
        <v>0</v>
      </c>
      <c r="AY25" s="146"/>
    </row>
    <row r="26" spans="1:51" ht="15">
      <c r="A26" s="144"/>
      <c r="H26" s="146"/>
      <c r="I26" s="146">
        <v>0</v>
      </c>
      <c r="J26" s="146"/>
      <c r="K26" s="146">
        <v>0</v>
      </c>
      <c r="L26" s="146"/>
      <c r="M26" s="146">
        <v>0</v>
      </c>
      <c r="N26" s="146"/>
      <c r="O26" s="146">
        <v>0</v>
      </c>
      <c r="P26" s="146"/>
      <c r="Q26" s="146">
        <v>0</v>
      </c>
      <c r="R26" s="146"/>
      <c r="S26" s="146">
        <v>0</v>
      </c>
      <c r="T26" s="146"/>
      <c r="U26" s="146">
        <v>0</v>
      </c>
      <c r="V26" s="146"/>
      <c r="W26" s="146">
        <v>0</v>
      </c>
      <c r="X26" s="146"/>
      <c r="Y26" s="146">
        <v>0</v>
      </c>
      <c r="Z26" s="146"/>
      <c r="AA26" s="146">
        <v>0</v>
      </c>
      <c r="AB26" s="134"/>
      <c r="AC26" s="134">
        <f>SUM(AB18:AB25)</f>
        <v>0</v>
      </c>
      <c r="AD26" s="134"/>
      <c r="AE26" s="147">
        <f>SUM(AD18:AD25)</f>
        <v>0</v>
      </c>
      <c r="AF26" s="146"/>
      <c r="AG26" s="146">
        <v>0</v>
      </c>
      <c r="AH26" s="146"/>
      <c r="AI26" s="146">
        <v>0</v>
      </c>
      <c r="AJ26" s="146"/>
      <c r="AK26" s="146">
        <v>0</v>
      </c>
      <c r="AL26" s="146"/>
      <c r="AM26" s="146">
        <v>0</v>
      </c>
      <c r="AN26" s="146"/>
      <c r="AO26" s="146">
        <v>0</v>
      </c>
      <c r="AP26" s="146"/>
      <c r="AQ26" s="146">
        <v>0</v>
      </c>
      <c r="AR26" s="146"/>
      <c r="AS26" s="146">
        <v>0</v>
      </c>
      <c r="AT26" s="146"/>
      <c r="AU26" s="146">
        <v>0</v>
      </c>
      <c r="AV26" s="146"/>
      <c r="AW26" s="146">
        <v>0</v>
      </c>
      <c r="AX26" s="146"/>
      <c r="AY26" s="146">
        <v>0</v>
      </c>
    </row>
    <row r="27" spans="1:51" ht="15.75" thickBot="1">
      <c r="A27" s="170"/>
      <c r="B27" s="3"/>
      <c r="C27" s="3"/>
      <c r="D27" s="3"/>
      <c r="E27" s="3" t="s">
        <v>209</v>
      </c>
      <c r="F27" s="3"/>
      <c r="G27" s="143"/>
      <c r="H27" s="146"/>
      <c r="I27" s="167">
        <v>0</v>
      </c>
      <c r="J27" s="146"/>
      <c r="K27" s="167">
        <v>0</v>
      </c>
      <c r="L27" s="146"/>
      <c r="M27" s="146">
        <v>0</v>
      </c>
      <c r="N27" s="146"/>
      <c r="O27" s="146">
        <v>0</v>
      </c>
      <c r="P27" s="146"/>
      <c r="Q27" s="146">
        <v>0</v>
      </c>
      <c r="R27" s="146"/>
      <c r="S27" s="146">
        <v>0</v>
      </c>
      <c r="T27" s="146"/>
      <c r="U27" s="146">
        <v>0</v>
      </c>
      <c r="V27" s="146"/>
      <c r="W27" s="146">
        <v>0</v>
      </c>
      <c r="X27" s="146"/>
      <c r="Y27" s="146">
        <v>0</v>
      </c>
      <c r="Z27" s="146"/>
      <c r="AA27" s="146">
        <v>0</v>
      </c>
      <c r="AB27" s="134"/>
      <c r="AC27" s="149">
        <f>SUM(AC7:AC26)</f>
        <v>0</v>
      </c>
      <c r="AD27" s="148"/>
      <c r="AE27" s="150">
        <f>SUM(AE7:AE26)</f>
        <v>0</v>
      </c>
      <c r="AF27" s="146"/>
      <c r="AG27" s="146">
        <v>0</v>
      </c>
      <c r="AH27" s="146"/>
      <c r="AI27" s="146">
        <v>0</v>
      </c>
      <c r="AJ27" s="146"/>
      <c r="AK27" s="146">
        <v>0</v>
      </c>
      <c r="AL27" s="146"/>
      <c r="AM27" s="146">
        <v>0</v>
      </c>
      <c r="AN27" s="146"/>
      <c r="AO27" s="146">
        <v>0</v>
      </c>
      <c r="AP27" s="146"/>
      <c r="AQ27" s="146">
        <v>0</v>
      </c>
      <c r="AR27" s="146"/>
      <c r="AS27" s="146">
        <v>0</v>
      </c>
      <c r="AT27" s="146"/>
      <c r="AU27" s="146">
        <v>0</v>
      </c>
      <c r="AV27" s="146"/>
      <c r="AW27" s="146">
        <v>0</v>
      </c>
      <c r="AX27" s="146"/>
      <c r="AY27" s="146">
        <v>0</v>
      </c>
    </row>
    <row r="28" ht="15.75" thickTop="1"/>
  </sheetData>
  <sheetProtection/>
  <mergeCells count="37">
    <mergeCell ref="AF5:AG5"/>
    <mergeCell ref="AH5:AI5"/>
    <mergeCell ref="A4:A5"/>
    <mergeCell ref="J4:K4"/>
    <mergeCell ref="J5:K5"/>
    <mergeCell ref="H4:I4"/>
    <mergeCell ref="H5:I5"/>
    <mergeCell ref="AR5:AS5"/>
    <mergeCell ref="AT5:AU5"/>
    <mergeCell ref="L1:O1"/>
    <mergeCell ref="P1:S1"/>
    <mergeCell ref="T1:W1"/>
    <mergeCell ref="X1:AA1"/>
    <mergeCell ref="AB1:AE1"/>
    <mergeCell ref="X5:Y5"/>
    <mergeCell ref="Z5:AA5"/>
    <mergeCell ref="AF1:AI1"/>
    <mergeCell ref="AV5:AW5"/>
    <mergeCell ref="AX5:AY5"/>
    <mergeCell ref="AJ1:AM1"/>
    <mergeCell ref="AN1:AQ1"/>
    <mergeCell ref="AR1:AU1"/>
    <mergeCell ref="AV1:AY1"/>
    <mergeCell ref="AN5:AO5"/>
    <mergeCell ref="AP5:AQ5"/>
    <mergeCell ref="AJ5:AK5"/>
    <mergeCell ref="AL5:AM5"/>
    <mergeCell ref="AB6:AC6"/>
    <mergeCell ref="AD6:AE6"/>
    <mergeCell ref="L5:M5"/>
    <mergeCell ref="N5:O5"/>
    <mergeCell ref="P5:Q5"/>
    <mergeCell ref="R5:S5"/>
    <mergeCell ref="T5:U5"/>
    <mergeCell ref="V5:W5"/>
    <mergeCell ref="AB5:AC5"/>
    <mergeCell ref="AD5:AE5"/>
  </mergeCells>
  <printOptions/>
  <pageMargins left="0.7" right="0.7" top="0.75" bottom="0.75" header="0.3" footer="0.3"/>
  <pageSetup horizontalDpi="600" verticalDpi="600" orientation="portrait" paperSize="5" scale="90" r:id="rId1"/>
</worksheet>
</file>

<file path=xl/worksheets/sheet23.xml><?xml version="1.0" encoding="utf-8"?>
<worksheet xmlns="http://schemas.openxmlformats.org/spreadsheetml/2006/main" xmlns:r="http://schemas.openxmlformats.org/officeDocument/2006/relationships">
  <dimension ref="A2:AC14"/>
  <sheetViews>
    <sheetView zoomScalePageLayoutView="0" workbookViewId="0" topLeftCell="A1">
      <selection activeCell="H17" sqref="H17"/>
    </sheetView>
  </sheetViews>
  <sheetFormatPr defaultColWidth="9.140625" defaultRowHeight="15"/>
  <cols>
    <col min="1" max="1" width="8.00390625" style="0" customWidth="1"/>
    <col min="2" max="2" width="3.8515625" style="0" customWidth="1"/>
    <col min="3" max="3" width="4.28125" style="0" customWidth="1"/>
    <col min="6" max="6" width="23.57421875" style="0" customWidth="1"/>
    <col min="7" max="7" width="11.57421875" style="0" customWidth="1"/>
    <col min="8" max="9" width="16.00390625" style="145" customWidth="1"/>
    <col min="10" max="29" width="16.00390625" style="145" hidden="1" customWidth="1"/>
  </cols>
  <sheetData>
    <row r="2" spans="1:9" ht="15">
      <c r="A2" s="129" t="s">
        <v>184</v>
      </c>
      <c r="B2" s="129"/>
      <c r="C2" s="129"/>
      <c r="D2" s="157"/>
      <c r="E2" s="156"/>
      <c r="F2" s="156"/>
      <c r="G2" s="156"/>
      <c r="H2" s="156"/>
      <c r="I2" s="156"/>
    </row>
    <row r="3" spans="1:9" ht="15">
      <c r="A3" s="129" t="s">
        <v>201</v>
      </c>
      <c r="B3" s="129"/>
      <c r="C3" s="129"/>
      <c r="D3" s="157"/>
      <c r="E3" s="156"/>
      <c r="F3" s="156"/>
      <c r="G3" s="156"/>
      <c r="H3" s="156"/>
      <c r="I3" s="156"/>
    </row>
    <row r="4" spans="1:9" ht="15">
      <c r="A4" s="129"/>
      <c r="B4" s="129"/>
      <c r="C4" s="129"/>
      <c r="D4" s="157"/>
      <c r="E4" s="156"/>
      <c r="F4" s="156"/>
      <c r="G4" s="156"/>
      <c r="H4" s="156"/>
      <c r="I4" s="156"/>
    </row>
    <row r="5" spans="1:9" ht="15">
      <c r="A5" s="569" t="s">
        <v>202</v>
      </c>
      <c r="B5" s="160" t="s">
        <v>216</v>
      </c>
      <c r="C5" s="160"/>
      <c r="D5" s="161"/>
      <c r="E5" s="162"/>
      <c r="F5" s="162"/>
      <c r="G5" s="162"/>
      <c r="H5" s="171" t="s">
        <v>185</v>
      </c>
      <c r="I5" s="171" t="s">
        <v>186</v>
      </c>
    </row>
    <row r="6" spans="1:28" ht="15">
      <c r="A6" s="570"/>
      <c r="B6" s="158"/>
      <c r="C6" s="163"/>
      <c r="D6" s="164"/>
      <c r="E6" s="165"/>
      <c r="F6" s="165"/>
      <c r="G6" s="165"/>
      <c r="H6" s="153" t="s">
        <v>187</v>
      </c>
      <c r="I6" s="153" t="s">
        <v>187</v>
      </c>
      <c r="J6" s="145" t="s">
        <v>151</v>
      </c>
      <c r="L6" s="145" t="s">
        <v>152</v>
      </c>
      <c r="N6" s="145" t="s">
        <v>153</v>
      </c>
      <c r="P6" s="145" t="s">
        <v>161</v>
      </c>
      <c r="R6" s="145" t="s">
        <v>162</v>
      </c>
      <c r="T6" s="145" t="s">
        <v>156</v>
      </c>
      <c r="V6" s="145" t="s">
        <v>157</v>
      </c>
      <c r="X6" s="145" t="s">
        <v>158</v>
      </c>
      <c r="Z6" s="145" t="s">
        <v>159</v>
      </c>
      <c r="AB6" s="145" t="s">
        <v>160</v>
      </c>
    </row>
    <row r="7" spans="1:29" ht="15">
      <c r="A7" s="144" t="s">
        <v>168</v>
      </c>
      <c r="B7" s="173" t="s">
        <v>255</v>
      </c>
      <c r="J7" s="145" t="s">
        <v>142</v>
      </c>
      <c r="K7" s="145" t="s">
        <v>143</v>
      </c>
      <c r="L7" s="145" t="s">
        <v>142</v>
      </c>
      <c r="M7" s="145" t="s">
        <v>143</v>
      </c>
      <c r="N7" s="145" t="s">
        <v>142</v>
      </c>
      <c r="O7" s="145" t="s">
        <v>143</v>
      </c>
      <c r="P7" s="145" t="s">
        <v>142</v>
      </c>
      <c r="Q7" s="145" t="s">
        <v>143</v>
      </c>
      <c r="R7" s="145" t="s">
        <v>142</v>
      </c>
      <c r="S7" s="145" t="s">
        <v>143</v>
      </c>
      <c r="T7" s="145" t="s">
        <v>142</v>
      </c>
      <c r="U7" s="145" t="s">
        <v>143</v>
      </c>
      <c r="V7" s="145" t="s">
        <v>142</v>
      </c>
      <c r="W7" s="145" t="s">
        <v>143</v>
      </c>
      <c r="X7" s="145" t="s">
        <v>142</v>
      </c>
      <c r="Y7" s="145" t="s">
        <v>143</v>
      </c>
      <c r="Z7" s="145" t="s">
        <v>142</v>
      </c>
      <c r="AA7" s="145" t="s">
        <v>143</v>
      </c>
      <c r="AB7" s="145" t="s">
        <v>142</v>
      </c>
      <c r="AC7" s="145" t="s">
        <v>143</v>
      </c>
    </row>
    <row r="8" spans="2:29" ht="15">
      <c r="B8" s="144" t="s">
        <v>145</v>
      </c>
      <c r="C8" t="s">
        <v>144</v>
      </c>
      <c r="H8" s="145">
        <v>0</v>
      </c>
      <c r="I8" s="145">
        <v>0</v>
      </c>
      <c r="J8" s="145">
        <v>0</v>
      </c>
      <c r="K8" s="145">
        <v>0</v>
      </c>
      <c r="L8" s="145">
        <v>0</v>
      </c>
      <c r="M8" s="145">
        <v>0</v>
      </c>
      <c r="N8" s="145">
        <v>0</v>
      </c>
      <c r="O8" s="145">
        <v>0</v>
      </c>
      <c r="P8" s="145">
        <v>0</v>
      </c>
      <c r="Q8" s="145">
        <v>0</v>
      </c>
      <c r="R8" s="145">
        <v>0</v>
      </c>
      <c r="S8" s="145">
        <v>0</v>
      </c>
      <c r="T8" s="145">
        <v>0</v>
      </c>
      <c r="U8" s="145">
        <v>0</v>
      </c>
      <c r="V8" s="145">
        <v>0</v>
      </c>
      <c r="W8" s="145">
        <v>0</v>
      </c>
      <c r="X8" s="145">
        <v>0</v>
      </c>
      <c r="Y8" s="145">
        <v>0</v>
      </c>
      <c r="Z8" s="145">
        <v>0</v>
      </c>
      <c r="AA8" s="145">
        <v>0</v>
      </c>
      <c r="AB8" s="145">
        <v>0</v>
      </c>
      <c r="AC8" s="145">
        <v>0</v>
      </c>
    </row>
    <row r="9" spans="2:29" ht="15">
      <c r="B9" s="144" t="s">
        <v>125</v>
      </c>
      <c r="C9" t="s">
        <v>150</v>
      </c>
      <c r="H9" s="145">
        <v>0</v>
      </c>
      <c r="I9" s="145">
        <v>0</v>
      </c>
      <c r="J9" s="145">
        <v>0</v>
      </c>
      <c r="K9" s="145">
        <v>0</v>
      </c>
      <c r="L9" s="145">
        <v>0</v>
      </c>
      <c r="M9" s="145">
        <v>0</v>
      </c>
      <c r="N9" s="145">
        <v>0</v>
      </c>
      <c r="O9" s="145">
        <v>0</v>
      </c>
      <c r="P9" s="145">
        <v>0</v>
      </c>
      <c r="Q9" s="145">
        <v>0</v>
      </c>
      <c r="R9" s="145">
        <v>0</v>
      </c>
      <c r="S9" s="145">
        <v>0</v>
      </c>
      <c r="T9" s="145">
        <v>0</v>
      </c>
      <c r="U9" s="145">
        <v>0</v>
      </c>
      <c r="V9" s="145">
        <v>0</v>
      </c>
      <c r="W9" s="145">
        <v>0</v>
      </c>
      <c r="X9" s="145">
        <v>0</v>
      </c>
      <c r="Y9" s="145">
        <v>0</v>
      </c>
      <c r="Z9" s="145">
        <v>0</v>
      </c>
      <c r="AA9" s="145">
        <v>0</v>
      </c>
      <c r="AB9" s="145">
        <v>0</v>
      </c>
      <c r="AC9" s="145">
        <v>0</v>
      </c>
    </row>
    <row r="10" spans="2:29" ht="15">
      <c r="B10" s="144" t="s">
        <v>128</v>
      </c>
      <c r="C10" t="s">
        <v>149</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0</v>
      </c>
      <c r="AC10" s="145">
        <v>0</v>
      </c>
    </row>
    <row r="11" spans="2:29" ht="15">
      <c r="B11" s="144" t="s">
        <v>127</v>
      </c>
      <c r="C11" t="s">
        <v>135</v>
      </c>
      <c r="H11" s="145">
        <v>0</v>
      </c>
      <c r="I11" s="145">
        <v>0</v>
      </c>
      <c r="J11" s="145">
        <v>0</v>
      </c>
      <c r="K11" s="145">
        <v>0</v>
      </c>
      <c r="L11" s="145">
        <v>0</v>
      </c>
      <c r="M11" s="145">
        <v>0</v>
      </c>
      <c r="N11" s="145">
        <v>0</v>
      </c>
      <c r="O11" s="145">
        <v>0</v>
      </c>
      <c r="P11" s="145">
        <v>0</v>
      </c>
      <c r="Q11" s="145">
        <v>0</v>
      </c>
      <c r="R11" s="145">
        <v>0</v>
      </c>
      <c r="S11" s="145">
        <v>0</v>
      </c>
      <c r="T11" s="145">
        <v>0</v>
      </c>
      <c r="U11" s="145">
        <v>0</v>
      </c>
      <c r="V11" s="145">
        <v>0</v>
      </c>
      <c r="W11" s="145">
        <v>0</v>
      </c>
      <c r="X11" s="145">
        <v>0</v>
      </c>
      <c r="Y11" s="145">
        <v>0</v>
      </c>
      <c r="Z11" s="145">
        <v>0</v>
      </c>
      <c r="AA11" s="145">
        <v>0</v>
      </c>
      <c r="AB11" s="145">
        <v>0</v>
      </c>
      <c r="AC11" s="145">
        <v>0</v>
      </c>
    </row>
    <row r="12" spans="2:13" ht="15">
      <c r="B12" s="144" t="s">
        <v>136</v>
      </c>
      <c r="C12" t="s">
        <v>163</v>
      </c>
      <c r="H12" s="145">
        <f>+J12+L12+N12+P12+R12+V12+T12+X12+Z12+AB12</f>
        <v>0</v>
      </c>
      <c r="L12" s="145">
        <v>0</v>
      </c>
      <c r="M12" s="145">
        <v>0</v>
      </c>
    </row>
    <row r="14" spans="1:29" ht="15.75" thickBot="1">
      <c r="A14" s="3"/>
      <c r="B14" s="3"/>
      <c r="C14" s="3"/>
      <c r="D14" s="3"/>
      <c r="E14" s="3"/>
      <c r="F14" s="3"/>
      <c r="H14" s="151">
        <f>SUM(H8:H13)</f>
        <v>0</v>
      </c>
      <c r="I14" s="151">
        <f aca="true" t="shared" si="0" ref="I14:AC14">SUM(I8:I13)</f>
        <v>0</v>
      </c>
      <c r="J14" s="151">
        <f t="shared" si="0"/>
        <v>0</v>
      </c>
      <c r="K14" s="151">
        <f t="shared" si="0"/>
        <v>0</v>
      </c>
      <c r="L14" s="151">
        <f t="shared" si="0"/>
        <v>0</v>
      </c>
      <c r="M14" s="151">
        <f t="shared" si="0"/>
        <v>0</v>
      </c>
      <c r="N14" s="151">
        <f t="shared" si="0"/>
        <v>0</v>
      </c>
      <c r="O14" s="151">
        <f t="shared" si="0"/>
        <v>0</v>
      </c>
      <c r="P14" s="151">
        <f t="shared" si="0"/>
        <v>0</v>
      </c>
      <c r="Q14" s="151">
        <f t="shared" si="0"/>
        <v>0</v>
      </c>
      <c r="R14" s="151">
        <f t="shared" si="0"/>
        <v>0</v>
      </c>
      <c r="S14" s="151">
        <f t="shared" si="0"/>
        <v>0</v>
      </c>
      <c r="T14" s="151">
        <f t="shared" si="0"/>
        <v>0</v>
      </c>
      <c r="U14" s="151">
        <f t="shared" si="0"/>
        <v>0</v>
      </c>
      <c r="V14" s="151">
        <f t="shared" si="0"/>
        <v>0</v>
      </c>
      <c r="W14" s="151">
        <f t="shared" si="0"/>
        <v>0</v>
      </c>
      <c r="X14" s="151">
        <f t="shared" si="0"/>
        <v>0</v>
      </c>
      <c r="Y14" s="151">
        <f t="shared" si="0"/>
        <v>0</v>
      </c>
      <c r="Z14" s="151">
        <f t="shared" si="0"/>
        <v>0</v>
      </c>
      <c r="AA14" s="151">
        <f t="shared" si="0"/>
        <v>0</v>
      </c>
      <c r="AB14" s="151">
        <f t="shared" si="0"/>
        <v>0</v>
      </c>
      <c r="AC14" s="151">
        <f t="shared" si="0"/>
        <v>0</v>
      </c>
    </row>
    <row r="15" ht="15.75" thickTop="1"/>
  </sheetData>
  <sheetProtection/>
  <mergeCells count="1">
    <mergeCell ref="A5:A6"/>
  </mergeCells>
  <printOptions horizontalCentered="1"/>
  <pageMargins left="0.7" right="0.7" top="0.75" bottom="0.75" header="0.3" footer="0.3"/>
  <pageSetup horizontalDpi="600" verticalDpi="600" orientation="portrait" paperSize="5" scale="85" r:id="rId1"/>
</worksheet>
</file>

<file path=xl/worksheets/sheet24.xml><?xml version="1.0" encoding="utf-8"?>
<worksheet xmlns="http://schemas.openxmlformats.org/spreadsheetml/2006/main" xmlns:r="http://schemas.openxmlformats.org/officeDocument/2006/relationships">
  <dimension ref="B3:F20"/>
  <sheetViews>
    <sheetView zoomScalePageLayoutView="0" workbookViewId="0" topLeftCell="A1">
      <selection activeCell="E17" sqref="E17"/>
    </sheetView>
  </sheetViews>
  <sheetFormatPr defaultColWidth="9.140625" defaultRowHeight="15"/>
  <cols>
    <col min="2" max="2" width="45.421875" style="0" customWidth="1"/>
    <col min="3" max="4" width="14.421875" style="0" customWidth="1"/>
    <col min="5" max="6" width="13.140625" style="0" customWidth="1"/>
  </cols>
  <sheetData>
    <row r="3" ht="15">
      <c r="B3" t="s">
        <v>298</v>
      </c>
    </row>
    <row r="4" spans="3:6" ht="15">
      <c r="C4" s="573" t="s">
        <v>300</v>
      </c>
      <c r="D4" s="573"/>
      <c r="E4" s="573" t="s">
        <v>299</v>
      </c>
      <c r="F4" s="573"/>
    </row>
    <row r="5" spans="2:6" ht="15">
      <c r="B5" t="s">
        <v>216</v>
      </c>
      <c r="C5" t="s">
        <v>217</v>
      </c>
      <c r="D5" t="s">
        <v>217</v>
      </c>
      <c r="E5" t="s">
        <v>217</v>
      </c>
      <c r="F5" t="s">
        <v>217</v>
      </c>
    </row>
    <row r="6" ht="15">
      <c r="B6" t="s">
        <v>222</v>
      </c>
    </row>
    <row r="7" spans="2:5" ht="15">
      <c r="B7" t="s">
        <v>223</v>
      </c>
      <c r="C7">
        <v>0</v>
      </c>
      <c r="E7">
        <v>0</v>
      </c>
    </row>
    <row r="8" spans="2:5" ht="15">
      <c r="B8" t="s">
        <v>224</v>
      </c>
      <c r="C8">
        <v>0</v>
      </c>
      <c r="E8">
        <v>0</v>
      </c>
    </row>
    <row r="9" spans="2:5" ht="15">
      <c r="B9" t="s">
        <v>225</v>
      </c>
      <c r="C9">
        <v>0</v>
      </c>
      <c r="E9">
        <v>0</v>
      </c>
    </row>
    <row r="10" spans="2:6" ht="15.75" thickBot="1">
      <c r="B10" t="s">
        <v>226</v>
      </c>
      <c r="C10" s="3">
        <v>0</v>
      </c>
      <c r="D10" s="3">
        <f>SUM(C7:C10)</f>
        <v>0</v>
      </c>
      <c r="E10" s="3">
        <v>0</v>
      </c>
      <c r="F10" s="3">
        <f>SUM(E7:E10)</f>
        <v>0</v>
      </c>
    </row>
    <row r="11" ht="15.75" thickTop="1"/>
    <row r="14" ht="15">
      <c r="B14" t="s">
        <v>218</v>
      </c>
    </row>
    <row r="15" spans="2:5" ht="15">
      <c r="B15" t="s">
        <v>219</v>
      </c>
      <c r="C15">
        <v>0</v>
      </c>
      <c r="E15">
        <v>0</v>
      </c>
    </row>
    <row r="16" spans="2:5" ht="15">
      <c r="B16" t="s">
        <v>229</v>
      </c>
      <c r="C16">
        <v>0</v>
      </c>
      <c r="E16">
        <v>0</v>
      </c>
    </row>
    <row r="17" spans="2:5" ht="15">
      <c r="B17" t="s">
        <v>230</v>
      </c>
      <c r="C17">
        <v>0</v>
      </c>
      <c r="E17">
        <v>0</v>
      </c>
    </row>
    <row r="18" spans="2:5" ht="15">
      <c r="B18" t="s">
        <v>220</v>
      </c>
      <c r="C18">
        <v>0</v>
      </c>
      <c r="E18">
        <v>0</v>
      </c>
    </row>
    <row r="19" spans="2:5" ht="15">
      <c r="B19" t="s">
        <v>227</v>
      </c>
      <c r="C19">
        <v>0</v>
      </c>
      <c r="E19">
        <v>0</v>
      </c>
    </row>
    <row r="20" spans="2:6" ht="15.75" thickBot="1">
      <c r="B20" t="s">
        <v>228</v>
      </c>
      <c r="C20" s="3">
        <v>0</v>
      </c>
      <c r="D20" s="3">
        <f>SUM(C15:C20)</f>
        <v>0</v>
      </c>
      <c r="E20" s="3">
        <v>0</v>
      </c>
      <c r="F20" s="3">
        <f>SUM(E15:E20)</f>
        <v>0</v>
      </c>
    </row>
    <row r="21" ht="15.75" thickTop="1"/>
  </sheetData>
  <sheetProtection/>
  <mergeCells count="2">
    <mergeCell ref="E4:F4"/>
    <mergeCell ref="C4:D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C120"/>
  <sheetViews>
    <sheetView zoomScale="115" zoomScaleNormal="115" zoomScaleSheetLayoutView="115" zoomScalePageLayoutView="0" workbookViewId="0" topLeftCell="A10">
      <selection activeCell="O118" sqref="O118"/>
    </sheetView>
  </sheetViews>
  <sheetFormatPr defaultColWidth="9.140625" defaultRowHeight="15"/>
  <cols>
    <col min="1" max="1" width="3.28125" style="61" customWidth="1"/>
    <col min="2" max="2" width="3.57421875" style="68" customWidth="1"/>
    <col min="3" max="3" width="2.7109375" style="61" customWidth="1"/>
    <col min="4" max="4" width="16.140625" style="61" customWidth="1"/>
    <col min="5" max="5" width="5.421875" style="61" customWidth="1"/>
    <col min="6" max="6" width="3.57421875" style="61" customWidth="1"/>
    <col min="7" max="8" width="9.140625" style="61" customWidth="1"/>
    <col min="9" max="9" width="3.421875" style="61" customWidth="1"/>
    <col min="10" max="10" width="9.8515625" style="61" bestFit="1" customWidth="1"/>
    <col min="11" max="11" width="13.140625" style="61" customWidth="1"/>
    <col min="12" max="12" width="2.28125" style="61" customWidth="1"/>
    <col min="13" max="13" width="10.7109375" style="61" customWidth="1"/>
    <col min="14" max="14" width="19.7109375" style="61" customWidth="1"/>
    <col min="15" max="15" width="18.140625" style="61" customWidth="1"/>
    <col min="16" max="18" width="9.140625" style="61" hidden="1" customWidth="1"/>
    <col min="19" max="19" width="11.140625" style="61" customWidth="1"/>
    <col min="20" max="20" width="6.00390625" style="61" customWidth="1"/>
    <col min="21" max="16384" width="9.140625" style="61" customWidth="1"/>
  </cols>
  <sheetData>
    <row r="1" spans="1:29" ht="13.5" thickBot="1">
      <c r="A1" s="56"/>
      <c r="B1" s="57"/>
      <c r="C1" s="58"/>
      <c r="D1" s="58"/>
      <c r="E1" s="58"/>
      <c r="F1" s="58"/>
      <c r="G1" s="575" t="s">
        <v>110</v>
      </c>
      <c r="H1" s="575"/>
      <c r="I1" s="575"/>
      <c r="J1" s="575"/>
      <c r="K1" s="575"/>
      <c r="L1" s="575"/>
      <c r="M1" s="575"/>
      <c r="N1" s="575"/>
      <c r="O1" s="575"/>
      <c r="P1" s="59"/>
      <c r="Q1" s="59"/>
      <c r="R1" s="59"/>
      <c r="S1" s="59"/>
      <c r="T1" s="59"/>
      <c r="U1" s="60"/>
      <c r="V1" s="60"/>
      <c r="W1" s="60"/>
      <c r="X1" s="60"/>
      <c r="Y1" s="60"/>
      <c r="Z1" s="60"/>
      <c r="AA1" s="60"/>
      <c r="AB1" s="60"/>
      <c r="AC1" s="60"/>
    </row>
    <row r="2" spans="1:9" ht="12.75">
      <c r="A2" s="62" t="s">
        <v>303</v>
      </c>
      <c r="B2" s="63"/>
      <c r="C2" s="60"/>
      <c r="D2" s="60"/>
      <c r="E2" s="64"/>
      <c r="F2" s="60"/>
      <c r="G2" s="60"/>
      <c r="H2" s="60"/>
      <c r="I2" s="59"/>
    </row>
    <row r="3" spans="1:9" ht="12.75">
      <c r="A3" s="65"/>
      <c r="B3" s="63"/>
      <c r="C3" s="60"/>
      <c r="D3" s="60"/>
      <c r="E3" s="64"/>
      <c r="F3" s="60"/>
      <c r="G3" s="60"/>
      <c r="H3" s="60"/>
      <c r="I3" s="59"/>
    </row>
    <row r="4" spans="1:2" ht="12.75">
      <c r="A4" s="66" t="s">
        <v>304</v>
      </c>
      <c r="B4" s="67" t="s">
        <v>305</v>
      </c>
    </row>
    <row r="5" ht="7.5" customHeight="1">
      <c r="C5" s="69"/>
    </row>
    <row r="6" spans="2:12" ht="12.75">
      <c r="B6" s="70">
        <v>1</v>
      </c>
      <c r="C6" s="69" t="s">
        <v>306</v>
      </c>
      <c r="E6" s="71"/>
      <c r="F6" s="71"/>
      <c r="G6" s="71"/>
      <c r="H6" s="71"/>
      <c r="I6" s="71"/>
      <c r="J6" s="71"/>
      <c r="K6" s="71"/>
      <c r="L6" s="71"/>
    </row>
    <row r="7" spans="2:18" ht="41.25" customHeight="1">
      <c r="B7" s="70"/>
      <c r="C7" s="576" t="s">
        <v>307</v>
      </c>
      <c r="D7" s="576"/>
      <c r="E7" s="576"/>
      <c r="F7" s="576"/>
      <c r="G7" s="576"/>
      <c r="H7" s="576"/>
      <c r="I7" s="576"/>
      <c r="J7" s="576"/>
      <c r="K7" s="576"/>
      <c r="L7" s="576"/>
      <c r="M7" s="576"/>
      <c r="N7" s="576"/>
      <c r="O7" s="576"/>
      <c r="P7" s="576"/>
      <c r="Q7" s="576"/>
      <c r="R7" s="576"/>
    </row>
    <row r="8" spans="2:12" ht="7.5" customHeight="1">
      <c r="B8" s="70"/>
      <c r="C8" s="71"/>
      <c r="D8" s="72"/>
      <c r="E8" s="72"/>
      <c r="F8" s="72"/>
      <c r="G8" s="72"/>
      <c r="H8" s="72"/>
      <c r="I8" s="72"/>
      <c r="J8" s="72"/>
      <c r="K8" s="72"/>
      <c r="L8" s="72"/>
    </row>
    <row r="9" spans="2:18" ht="54" customHeight="1">
      <c r="B9" s="70"/>
      <c r="C9" s="576" t="s">
        <v>308</v>
      </c>
      <c r="D9" s="576"/>
      <c r="E9" s="576"/>
      <c r="F9" s="576"/>
      <c r="G9" s="576"/>
      <c r="H9" s="576"/>
      <c r="I9" s="576"/>
      <c r="J9" s="576"/>
      <c r="K9" s="576"/>
      <c r="L9" s="576"/>
      <c r="M9" s="576"/>
      <c r="N9" s="576"/>
      <c r="O9" s="576"/>
      <c r="P9" s="576"/>
      <c r="Q9" s="576"/>
      <c r="R9" s="576"/>
    </row>
    <row r="10" ht="12.75">
      <c r="C10" s="69"/>
    </row>
    <row r="11" spans="2:12" ht="12.75">
      <c r="B11" s="70">
        <v>2</v>
      </c>
      <c r="C11" s="73" t="s">
        <v>309</v>
      </c>
      <c r="E11" s="71"/>
      <c r="F11" s="71"/>
      <c r="G11" s="71"/>
      <c r="H11" s="71"/>
      <c r="I11" s="71"/>
      <c r="J11" s="71"/>
      <c r="K11" s="71"/>
      <c r="L11" s="71"/>
    </row>
    <row r="12" spans="2:17" ht="27" customHeight="1">
      <c r="B12" s="70"/>
      <c r="C12" s="577" t="s">
        <v>310</v>
      </c>
      <c r="D12" s="577"/>
      <c r="E12" s="577"/>
      <c r="F12" s="577"/>
      <c r="G12" s="577"/>
      <c r="H12" s="577"/>
      <c r="I12" s="577"/>
      <c r="J12" s="577"/>
      <c r="K12" s="577"/>
      <c r="L12" s="577"/>
      <c r="M12" s="577"/>
      <c r="N12" s="577"/>
      <c r="O12" s="577"/>
      <c r="P12" s="577"/>
      <c r="Q12" s="577"/>
    </row>
    <row r="13" spans="2:17" ht="12.75">
      <c r="B13" s="74"/>
      <c r="C13" s="72"/>
      <c r="D13" s="72"/>
      <c r="E13" s="72"/>
      <c r="F13" s="72"/>
      <c r="G13" s="72"/>
      <c r="H13" s="72"/>
      <c r="I13" s="72"/>
      <c r="J13" s="72"/>
      <c r="K13" s="72"/>
      <c r="L13" s="72"/>
      <c r="M13" s="72"/>
      <c r="N13" s="72"/>
      <c r="O13" s="72"/>
      <c r="P13" s="72"/>
      <c r="Q13" s="72"/>
    </row>
    <row r="14" spans="2:3" ht="12.75">
      <c r="B14" s="74">
        <v>3</v>
      </c>
      <c r="C14" s="69" t="s">
        <v>311</v>
      </c>
    </row>
    <row r="15" spans="2:18" ht="12.75">
      <c r="B15" s="61"/>
      <c r="C15" s="75" t="s">
        <v>312</v>
      </c>
      <c r="E15" s="75"/>
      <c r="F15" s="75"/>
      <c r="G15" s="75"/>
      <c r="H15" s="75"/>
      <c r="I15" s="75"/>
      <c r="J15" s="75"/>
      <c r="K15" s="75"/>
      <c r="L15" s="75"/>
      <c r="M15" s="75"/>
      <c r="N15" s="75"/>
      <c r="O15" s="75"/>
      <c r="P15" s="75"/>
      <c r="Q15" s="76"/>
      <c r="R15" s="76"/>
    </row>
    <row r="16" spans="2:18" ht="12.75">
      <c r="B16" s="61"/>
      <c r="C16" s="578" t="s">
        <v>313</v>
      </c>
      <c r="D16" s="578"/>
      <c r="E16" s="578"/>
      <c r="F16" s="578"/>
      <c r="G16" s="578"/>
      <c r="H16" s="578"/>
      <c r="I16" s="578"/>
      <c r="J16" s="578"/>
      <c r="K16" s="578"/>
      <c r="L16" s="578"/>
      <c r="M16" s="578"/>
      <c r="N16" s="578"/>
      <c r="O16" s="578"/>
      <c r="P16" s="578"/>
      <c r="Q16" s="578"/>
      <c r="R16" s="578"/>
    </row>
    <row r="17" spans="2:3" ht="12.75">
      <c r="B17" s="61"/>
      <c r="C17" s="77" t="s">
        <v>0</v>
      </c>
    </row>
    <row r="18" ht="12.75">
      <c r="C18" s="69"/>
    </row>
    <row r="19" spans="2:3" ht="12.75">
      <c r="B19" s="68" t="s">
        <v>1</v>
      </c>
      <c r="C19" s="69" t="s">
        <v>2</v>
      </c>
    </row>
    <row r="20" spans="3:15" ht="12.75" customHeight="1">
      <c r="C20" s="61" t="s">
        <v>3</v>
      </c>
      <c r="D20" s="579" t="s">
        <v>4</v>
      </c>
      <c r="E20" s="579"/>
      <c r="F20" s="579"/>
      <c r="G20" s="579"/>
      <c r="H20" s="579"/>
      <c r="I20" s="579"/>
      <c r="J20" s="579"/>
      <c r="K20" s="579"/>
      <c r="L20" s="579"/>
      <c r="M20" s="579"/>
      <c r="N20" s="579"/>
      <c r="O20" s="579"/>
    </row>
    <row r="21" spans="4:15" ht="12.75">
      <c r="D21" s="579"/>
      <c r="E21" s="579"/>
      <c r="F21" s="579"/>
      <c r="G21" s="579"/>
      <c r="H21" s="579"/>
      <c r="I21" s="579"/>
      <c r="J21" s="579"/>
      <c r="K21" s="579"/>
      <c r="L21" s="579"/>
      <c r="M21" s="579"/>
      <c r="N21" s="579"/>
      <c r="O21" s="579"/>
    </row>
    <row r="22" spans="3:4" ht="12.75">
      <c r="C22" s="61" t="s">
        <v>5</v>
      </c>
      <c r="D22" s="61" t="s">
        <v>6</v>
      </c>
    </row>
    <row r="23" spans="3:4" ht="12.75">
      <c r="C23" s="61" t="s">
        <v>7</v>
      </c>
      <c r="D23" s="61" t="s">
        <v>8</v>
      </c>
    </row>
    <row r="25" spans="2:3" ht="12.75">
      <c r="B25" s="68" t="s">
        <v>9</v>
      </c>
      <c r="C25" s="69" t="s">
        <v>10</v>
      </c>
    </row>
    <row r="26" spans="3:15" ht="12.75">
      <c r="C26" s="574" t="s">
        <v>11</v>
      </c>
      <c r="D26" s="574"/>
      <c r="E26" s="574"/>
      <c r="F26" s="574"/>
      <c r="G26" s="574"/>
      <c r="H26" s="574"/>
      <c r="I26" s="574"/>
      <c r="J26" s="574"/>
      <c r="K26" s="574"/>
      <c r="L26" s="574"/>
      <c r="M26" s="574"/>
      <c r="N26" s="574"/>
      <c r="O26" s="574"/>
    </row>
    <row r="27" spans="3:15" ht="12.75">
      <c r="C27" s="574"/>
      <c r="D27" s="574"/>
      <c r="E27" s="574"/>
      <c r="F27" s="574"/>
      <c r="G27" s="574"/>
      <c r="H27" s="574"/>
      <c r="I27" s="574"/>
      <c r="J27" s="574"/>
      <c r="K27" s="574"/>
      <c r="L27" s="574"/>
      <c r="M27" s="574"/>
      <c r="N27" s="574"/>
      <c r="O27" s="574"/>
    </row>
    <row r="28" spans="3:15" ht="12.75">
      <c r="C28" s="80"/>
      <c r="D28" s="80"/>
      <c r="E28" s="80"/>
      <c r="F28" s="80"/>
      <c r="G28" s="80"/>
      <c r="H28" s="80"/>
      <c r="I28" s="80"/>
      <c r="J28" s="80"/>
      <c r="K28" s="80"/>
      <c r="L28" s="80"/>
      <c r="M28" s="80"/>
      <c r="N28" s="80"/>
      <c r="O28" s="80"/>
    </row>
    <row r="29" spans="2:3" ht="12.75">
      <c r="B29" s="68" t="s">
        <v>12</v>
      </c>
      <c r="C29" s="69" t="s">
        <v>13</v>
      </c>
    </row>
    <row r="30" spans="2:3" ht="12.75">
      <c r="B30" s="81"/>
      <c r="C30" s="61" t="s">
        <v>14</v>
      </c>
    </row>
    <row r="31" spans="2:4" ht="12.75">
      <c r="B31" s="81"/>
      <c r="C31" s="82" t="s">
        <v>3</v>
      </c>
      <c r="D31" s="61" t="s">
        <v>15</v>
      </c>
    </row>
    <row r="32" spans="2:4" ht="12.75">
      <c r="B32" s="81"/>
      <c r="C32" s="82" t="s">
        <v>5</v>
      </c>
      <c r="D32" s="61" t="s">
        <v>16</v>
      </c>
    </row>
    <row r="33" spans="2:13" ht="12.75">
      <c r="B33" s="61"/>
      <c r="C33" s="83" t="s">
        <v>7</v>
      </c>
      <c r="D33" s="61" t="s">
        <v>17</v>
      </c>
      <c r="M33" s="74"/>
    </row>
    <row r="34" spans="2:17" ht="27" customHeight="1">
      <c r="B34" s="61"/>
      <c r="C34" s="84" t="s">
        <v>18</v>
      </c>
      <c r="D34" s="574" t="s">
        <v>19</v>
      </c>
      <c r="E34" s="574"/>
      <c r="F34" s="574"/>
      <c r="G34" s="574"/>
      <c r="H34" s="574"/>
      <c r="I34" s="574"/>
      <c r="J34" s="574"/>
      <c r="K34" s="574"/>
      <c r="L34" s="574"/>
      <c r="M34" s="574"/>
      <c r="N34" s="574"/>
      <c r="O34" s="574"/>
      <c r="P34" s="574"/>
      <c r="Q34" s="574"/>
    </row>
    <row r="35" spans="3:15" ht="12.75">
      <c r="C35" s="80"/>
      <c r="D35" s="80"/>
      <c r="E35" s="80"/>
      <c r="F35" s="80"/>
      <c r="G35" s="80"/>
      <c r="H35" s="80"/>
      <c r="I35" s="80"/>
      <c r="J35" s="80"/>
      <c r="K35" s="80"/>
      <c r="L35" s="80"/>
      <c r="M35" s="80"/>
      <c r="N35" s="80"/>
      <c r="O35" s="80"/>
    </row>
    <row r="36" spans="1:15" ht="13.5" thickBot="1">
      <c r="A36" s="56"/>
      <c r="B36" s="57"/>
      <c r="C36" s="58"/>
      <c r="D36" s="58"/>
      <c r="E36" s="58"/>
      <c r="F36" s="58"/>
      <c r="G36" s="575" t="s">
        <v>110</v>
      </c>
      <c r="H36" s="575"/>
      <c r="I36" s="575"/>
      <c r="J36" s="575"/>
      <c r="K36" s="575"/>
      <c r="L36" s="575"/>
      <c r="M36" s="575"/>
      <c r="N36" s="575"/>
      <c r="O36" s="575"/>
    </row>
    <row r="37" spans="1:15" ht="12.75">
      <c r="A37" s="85"/>
      <c r="B37" s="63"/>
      <c r="C37" s="60"/>
      <c r="D37" s="60"/>
      <c r="G37" s="86"/>
      <c r="H37" s="86"/>
      <c r="I37" s="86"/>
      <c r="J37" s="86"/>
      <c r="K37" s="86"/>
      <c r="L37" s="86"/>
      <c r="M37" s="86"/>
      <c r="N37" s="86"/>
      <c r="O37" s="86"/>
    </row>
    <row r="38" spans="1:9" ht="12.75">
      <c r="A38" s="62" t="s">
        <v>303</v>
      </c>
      <c r="B38" s="63"/>
      <c r="C38" s="60"/>
      <c r="D38" s="60"/>
      <c r="E38" s="64"/>
      <c r="F38" s="60"/>
      <c r="G38" s="60"/>
      <c r="H38" s="60"/>
      <c r="I38" s="59"/>
    </row>
    <row r="39" spans="1:9" ht="12.75">
      <c r="A39" s="65"/>
      <c r="B39" s="63"/>
      <c r="C39" s="60"/>
      <c r="D39" s="60"/>
      <c r="E39" s="64"/>
      <c r="F39" s="60"/>
      <c r="G39" s="60"/>
      <c r="H39" s="60"/>
      <c r="I39" s="59"/>
    </row>
    <row r="40" spans="1:2" ht="12.75">
      <c r="A40" s="66" t="s">
        <v>304</v>
      </c>
      <c r="B40" s="67" t="s">
        <v>20</v>
      </c>
    </row>
    <row r="41" spans="3:15" ht="12.75">
      <c r="C41" s="80"/>
      <c r="D41" s="80"/>
      <c r="E41" s="80"/>
      <c r="F41" s="80"/>
      <c r="G41" s="80"/>
      <c r="H41" s="80"/>
      <c r="I41" s="80"/>
      <c r="J41" s="80"/>
      <c r="K41" s="80"/>
      <c r="L41" s="80"/>
      <c r="M41" s="80"/>
      <c r="N41" s="80"/>
      <c r="O41" s="80"/>
    </row>
    <row r="42" spans="2:15" ht="12.75">
      <c r="B42" s="68" t="s">
        <v>21</v>
      </c>
      <c r="C42" s="73" t="s">
        <v>22</v>
      </c>
      <c r="D42" s="80"/>
      <c r="E42" s="80"/>
      <c r="F42" s="80"/>
      <c r="G42" s="80"/>
      <c r="H42" s="80"/>
      <c r="I42" s="80"/>
      <c r="J42" s="80"/>
      <c r="K42" s="80"/>
      <c r="L42" s="80"/>
      <c r="M42" s="80"/>
      <c r="N42" s="80"/>
      <c r="O42" s="80"/>
    </row>
    <row r="43" spans="3:15" ht="12.75">
      <c r="C43" s="87" t="s">
        <v>23</v>
      </c>
      <c r="D43" s="80"/>
      <c r="E43" s="80"/>
      <c r="F43" s="80"/>
      <c r="G43" s="80"/>
      <c r="H43" s="80"/>
      <c r="I43" s="80"/>
      <c r="J43" s="80"/>
      <c r="K43" s="80"/>
      <c r="L43" s="80"/>
      <c r="M43" s="80"/>
      <c r="N43" s="80"/>
      <c r="O43" s="80"/>
    </row>
    <row r="44" spans="3:15" ht="12.75">
      <c r="C44" s="80"/>
      <c r="D44" s="80"/>
      <c r="E44" s="80"/>
      <c r="F44" s="80"/>
      <c r="G44" s="80"/>
      <c r="H44" s="80"/>
      <c r="I44" s="80"/>
      <c r="J44" s="80"/>
      <c r="K44" s="80"/>
      <c r="L44" s="80"/>
      <c r="M44" s="80"/>
      <c r="N44" s="80"/>
      <c r="O44" s="80"/>
    </row>
    <row r="45" spans="2:15" ht="12.75">
      <c r="B45" s="68" t="s">
        <v>24</v>
      </c>
      <c r="C45" s="586" t="s">
        <v>25</v>
      </c>
      <c r="D45" s="586"/>
      <c r="E45" s="88"/>
      <c r="F45" s="88"/>
      <c r="G45" s="88"/>
      <c r="H45" s="88"/>
      <c r="I45" s="88"/>
      <c r="J45" s="88"/>
      <c r="K45" s="88"/>
      <c r="L45" s="80"/>
      <c r="M45" s="80"/>
      <c r="N45" s="80"/>
      <c r="O45" s="80"/>
    </row>
    <row r="46" spans="3:15" ht="12.75" customHeight="1">
      <c r="C46" s="574" t="s">
        <v>26</v>
      </c>
      <c r="D46" s="574"/>
      <c r="E46" s="574"/>
      <c r="F46" s="574"/>
      <c r="G46" s="574"/>
      <c r="H46" s="574"/>
      <c r="I46" s="574"/>
      <c r="J46" s="574"/>
      <c r="K46" s="574"/>
      <c r="L46" s="574"/>
      <c r="M46" s="574"/>
      <c r="N46" s="574"/>
      <c r="O46" s="574"/>
    </row>
    <row r="47" spans="3:15" ht="12.75">
      <c r="C47" s="574"/>
      <c r="D47" s="574"/>
      <c r="E47" s="574"/>
      <c r="F47" s="574"/>
      <c r="G47" s="574"/>
      <c r="H47" s="574"/>
      <c r="I47" s="574"/>
      <c r="J47" s="574"/>
      <c r="K47" s="574"/>
      <c r="L47" s="574"/>
      <c r="M47" s="574"/>
      <c r="N47" s="574"/>
      <c r="O47" s="574"/>
    </row>
    <row r="48" spans="3:15" ht="12.75">
      <c r="C48" s="80"/>
      <c r="D48" s="80"/>
      <c r="E48" s="80"/>
      <c r="F48" s="80"/>
      <c r="G48" s="80"/>
      <c r="H48" s="80"/>
      <c r="I48" s="80"/>
      <c r="J48" s="80"/>
      <c r="K48" s="80"/>
      <c r="L48" s="80"/>
      <c r="M48" s="80"/>
      <c r="N48" s="80"/>
      <c r="O48" s="80"/>
    </row>
    <row r="49" spans="2:3" ht="12.75">
      <c r="B49" s="68" t="s">
        <v>27</v>
      </c>
      <c r="C49" s="69" t="s">
        <v>28</v>
      </c>
    </row>
    <row r="50" spans="3:15" ht="12.75" customHeight="1">
      <c r="C50" s="574" t="s">
        <v>29</v>
      </c>
      <c r="D50" s="574"/>
      <c r="E50" s="574"/>
      <c r="F50" s="574"/>
      <c r="G50" s="574"/>
      <c r="H50" s="574"/>
      <c r="I50" s="574"/>
      <c r="J50" s="574"/>
      <c r="K50" s="574"/>
      <c r="L50" s="574"/>
      <c r="M50" s="574"/>
      <c r="N50" s="574"/>
      <c r="O50" s="574"/>
    </row>
    <row r="51" spans="3:15" ht="12.75" customHeight="1">
      <c r="C51" s="574"/>
      <c r="D51" s="574"/>
      <c r="E51" s="574"/>
      <c r="F51" s="574"/>
      <c r="G51" s="574"/>
      <c r="H51" s="574"/>
      <c r="I51" s="574"/>
      <c r="J51" s="574"/>
      <c r="K51" s="574"/>
      <c r="L51" s="574"/>
      <c r="M51" s="574"/>
      <c r="N51" s="574"/>
      <c r="O51" s="574"/>
    </row>
    <row r="52" spans="3:15" ht="12.75" customHeight="1">
      <c r="C52" s="574"/>
      <c r="D52" s="574"/>
      <c r="E52" s="574"/>
      <c r="F52" s="574"/>
      <c r="G52" s="574"/>
      <c r="H52" s="574"/>
      <c r="I52" s="574"/>
      <c r="J52" s="574"/>
      <c r="K52" s="574"/>
      <c r="L52" s="574"/>
      <c r="M52" s="574"/>
      <c r="N52" s="574"/>
      <c r="O52" s="574"/>
    </row>
    <row r="53" spans="3:15" ht="12.75" customHeight="1">
      <c r="C53" s="79"/>
      <c r="D53" s="79"/>
      <c r="E53" s="79"/>
      <c r="F53" s="79"/>
      <c r="G53" s="79"/>
      <c r="H53" s="79"/>
      <c r="I53" s="79"/>
      <c r="J53" s="79"/>
      <c r="K53" s="79"/>
      <c r="L53" s="79"/>
      <c r="M53" s="79"/>
      <c r="N53" s="79"/>
      <c r="O53" s="79"/>
    </row>
    <row r="54" spans="2:3" ht="12.75">
      <c r="B54" s="68" t="s">
        <v>30</v>
      </c>
      <c r="C54" s="69" t="s">
        <v>31</v>
      </c>
    </row>
    <row r="55" spans="3:16" ht="12.75" customHeight="1">
      <c r="C55" s="89" t="s">
        <v>3</v>
      </c>
      <c r="D55" s="581" t="s">
        <v>32</v>
      </c>
      <c r="E55" s="581"/>
      <c r="F55" s="581"/>
      <c r="G55" s="581"/>
      <c r="H55" s="581"/>
      <c r="I55" s="581"/>
      <c r="J55" s="581"/>
      <c r="K55" s="581"/>
      <c r="L55" s="581"/>
      <c r="M55" s="581"/>
      <c r="N55" s="581"/>
      <c r="O55" s="581"/>
      <c r="P55" s="581"/>
    </row>
    <row r="56" spans="3:16" ht="15" customHeight="1">
      <c r="C56" s="89"/>
      <c r="D56" s="581"/>
      <c r="E56" s="581"/>
      <c r="F56" s="581"/>
      <c r="G56" s="581"/>
      <c r="H56" s="581"/>
      <c r="I56" s="581"/>
      <c r="J56" s="581"/>
      <c r="K56" s="581"/>
      <c r="L56" s="581"/>
      <c r="M56" s="581"/>
      <c r="N56" s="581"/>
      <c r="O56" s="581"/>
      <c r="P56" s="581"/>
    </row>
    <row r="57" spans="3:16" ht="13.5" customHeight="1">
      <c r="C57" s="89" t="s">
        <v>5</v>
      </c>
      <c r="D57" s="582" t="s">
        <v>33</v>
      </c>
      <c r="E57" s="582"/>
      <c r="F57" s="582"/>
      <c r="G57" s="582"/>
      <c r="H57" s="582"/>
      <c r="I57" s="582"/>
      <c r="J57" s="582"/>
      <c r="K57" s="582"/>
      <c r="L57" s="582"/>
      <c r="M57" s="582"/>
      <c r="N57" s="582"/>
      <c r="O57" s="582"/>
      <c r="P57" s="582"/>
    </row>
    <row r="58" spans="4:16" ht="12.75">
      <c r="D58" s="582"/>
      <c r="E58" s="582"/>
      <c r="F58" s="582"/>
      <c r="G58" s="582"/>
      <c r="H58" s="582"/>
      <c r="I58" s="582"/>
      <c r="J58" s="582"/>
      <c r="K58" s="582"/>
      <c r="L58" s="582"/>
      <c r="M58" s="582"/>
      <c r="N58" s="582"/>
      <c r="O58" s="582"/>
      <c r="P58" s="582"/>
    </row>
    <row r="59" spans="4:16" ht="12.75">
      <c r="D59" s="90"/>
      <c r="E59" s="90"/>
      <c r="F59" s="90"/>
      <c r="G59" s="90"/>
      <c r="H59" s="90"/>
      <c r="I59" s="90"/>
      <c r="J59" s="90"/>
      <c r="K59" s="90"/>
      <c r="L59" s="90"/>
      <c r="M59" s="90"/>
      <c r="N59" s="90"/>
      <c r="O59" s="90"/>
      <c r="P59" s="90"/>
    </row>
    <row r="60" spans="2:3" ht="12.75">
      <c r="B60" s="74">
        <v>11</v>
      </c>
      <c r="C60" s="69" t="s">
        <v>34</v>
      </c>
    </row>
    <row r="61" spans="2:16" ht="10.5" customHeight="1">
      <c r="B61" s="74"/>
      <c r="C61" s="66" t="s">
        <v>3</v>
      </c>
      <c r="D61" s="582" t="s">
        <v>35</v>
      </c>
      <c r="E61" s="582"/>
      <c r="F61" s="582"/>
      <c r="G61" s="582"/>
      <c r="H61" s="582"/>
      <c r="I61" s="582"/>
      <c r="J61" s="582"/>
      <c r="K61" s="582"/>
      <c r="L61" s="582"/>
      <c r="M61" s="582"/>
      <c r="N61" s="582"/>
      <c r="O61" s="582"/>
      <c r="P61" s="582"/>
    </row>
    <row r="62" spans="2:16" ht="6" customHeight="1">
      <c r="B62" s="74"/>
      <c r="C62" s="69"/>
      <c r="D62" s="582"/>
      <c r="E62" s="582"/>
      <c r="F62" s="582"/>
      <c r="G62" s="582"/>
      <c r="H62" s="582"/>
      <c r="I62" s="582"/>
      <c r="J62" s="582"/>
      <c r="K62" s="582"/>
      <c r="L62" s="582"/>
      <c r="M62" s="582"/>
      <c r="N62" s="582"/>
      <c r="O62" s="582"/>
      <c r="P62" s="582"/>
    </row>
    <row r="63" spans="2:16" ht="12.75">
      <c r="B63" s="74"/>
      <c r="C63" s="66" t="s">
        <v>5</v>
      </c>
      <c r="D63" s="579" t="s">
        <v>36</v>
      </c>
      <c r="E63" s="582"/>
      <c r="F63" s="582"/>
      <c r="G63" s="582"/>
      <c r="H63" s="582"/>
      <c r="I63" s="582"/>
      <c r="J63" s="582"/>
      <c r="K63" s="582"/>
      <c r="L63" s="582"/>
      <c r="M63" s="582"/>
      <c r="N63" s="582"/>
      <c r="O63" s="582"/>
      <c r="P63" s="582"/>
    </row>
    <row r="64" spans="2:16" ht="27" customHeight="1">
      <c r="B64" s="74"/>
      <c r="C64" s="69"/>
      <c r="D64" s="582"/>
      <c r="E64" s="582"/>
      <c r="F64" s="582"/>
      <c r="G64" s="582"/>
      <c r="H64" s="582"/>
      <c r="I64" s="582"/>
      <c r="J64" s="582"/>
      <c r="K64" s="582"/>
      <c r="L64" s="582"/>
      <c r="M64" s="582"/>
      <c r="N64" s="582"/>
      <c r="O64" s="582"/>
      <c r="P64" s="582"/>
    </row>
    <row r="65" spans="2:16" ht="6.75" customHeight="1">
      <c r="B65" s="74"/>
      <c r="C65" s="69"/>
      <c r="D65" s="90"/>
      <c r="E65" s="90"/>
      <c r="F65" s="90"/>
      <c r="G65" s="90"/>
      <c r="H65" s="90"/>
      <c r="I65" s="90"/>
      <c r="J65" s="90"/>
      <c r="K65" s="90"/>
      <c r="L65" s="90"/>
      <c r="M65" s="90"/>
      <c r="N65" s="90"/>
      <c r="O65" s="90"/>
      <c r="P65" s="90"/>
    </row>
    <row r="66" spans="2:15" ht="12.75">
      <c r="B66" s="70">
        <v>12</v>
      </c>
      <c r="C66" s="583" t="s">
        <v>37</v>
      </c>
      <c r="D66" s="583"/>
      <c r="E66" s="583"/>
      <c r="F66" s="583"/>
      <c r="G66" s="583"/>
      <c r="H66" s="583"/>
      <c r="I66" s="583"/>
      <c r="J66" s="583"/>
      <c r="K66" s="583"/>
      <c r="L66" s="91"/>
      <c r="M66" s="91"/>
      <c r="N66" s="91"/>
      <c r="O66" s="91"/>
    </row>
    <row r="67" spans="2:11" ht="12.75">
      <c r="B67" s="70"/>
      <c r="C67" s="73" t="s">
        <v>38</v>
      </c>
      <c r="D67" s="71"/>
      <c r="E67" s="71"/>
      <c r="F67" s="71"/>
      <c r="G67" s="71"/>
      <c r="H67" s="71"/>
      <c r="I67" s="71"/>
      <c r="J67" s="71"/>
      <c r="K67" s="71"/>
    </row>
    <row r="68" spans="2:16" ht="41.25" customHeight="1">
      <c r="B68" s="70"/>
      <c r="C68" s="574" t="s">
        <v>39</v>
      </c>
      <c r="D68" s="574"/>
      <c r="E68" s="574"/>
      <c r="F68" s="574"/>
      <c r="G68" s="574"/>
      <c r="H68" s="574"/>
      <c r="I68" s="574"/>
      <c r="J68" s="574"/>
      <c r="K68" s="574"/>
      <c r="L68" s="574"/>
      <c r="M68" s="574"/>
      <c r="N68" s="574"/>
      <c r="O68" s="574"/>
      <c r="P68" s="574"/>
    </row>
    <row r="69" ht="12.75">
      <c r="B69" s="74"/>
    </row>
    <row r="70" spans="2:11" ht="12.75">
      <c r="B70" s="70">
        <v>13</v>
      </c>
      <c r="C70" s="583" t="s">
        <v>40</v>
      </c>
      <c r="D70" s="584"/>
      <c r="E70" s="584"/>
      <c r="F70" s="584"/>
      <c r="G70" s="584"/>
      <c r="H70" s="584"/>
      <c r="I70" s="584"/>
      <c r="J70" s="584"/>
      <c r="K70" s="584"/>
    </row>
    <row r="71" spans="2:11" ht="12.75">
      <c r="B71" s="70"/>
      <c r="C71" s="92" t="s">
        <v>41</v>
      </c>
      <c r="D71" s="92"/>
      <c r="E71" s="92"/>
      <c r="F71" s="92"/>
      <c r="G71" s="92"/>
      <c r="H71" s="92"/>
      <c r="I71" s="92"/>
      <c r="J71" s="92"/>
      <c r="K71" s="92"/>
    </row>
    <row r="72" spans="2:11" ht="12.75">
      <c r="B72" s="71"/>
      <c r="C72" s="93" t="s">
        <v>42</v>
      </c>
      <c r="D72" s="71" t="s">
        <v>43</v>
      </c>
      <c r="E72" s="92"/>
      <c r="F72" s="92"/>
      <c r="G72" s="92"/>
      <c r="H72" s="92"/>
      <c r="I72" s="92"/>
      <c r="J72" s="92"/>
      <c r="K72" s="92"/>
    </row>
    <row r="73" spans="2:11" ht="12.75">
      <c r="B73" s="71"/>
      <c r="C73" s="93" t="s">
        <v>44</v>
      </c>
      <c r="D73" s="94" t="s">
        <v>45</v>
      </c>
      <c r="E73" s="94"/>
      <c r="F73" s="94"/>
      <c r="G73" s="94"/>
      <c r="H73" s="94"/>
      <c r="I73" s="94"/>
      <c r="J73" s="94"/>
      <c r="K73" s="94"/>
    </row>
    <row r="74" spans="4:16" ht="12.75">
      <c r="D74" s="90"/>
      <c r="E74" s="90"/>
      <c r="F74" s="90"/>
      <c r="G74" s="90"/>
      <c r="H74" s="90"/>
      <c r="I74" s="90"/>
      <c r="J74" s="90"/>
      <c r="K74" s="90"/>
      <c r="L74" s="90"/>
      <c r="M74" s="90"/>
      <c r="N74" s="90"/>
      <c r="O74" s="90"/>
      <c r="P74" s="90"/>
    </row>
    <row r="75" spans="1:19" ht="13.5" thickBot="1">
      <c r="A75" s="56"/>
      <c r="B75" s="57"/>
      <c r="C75" s="58"/>
      <c r="D75" s="58"/>
      <c r="E75" s="58"/>
      <c r="F75" s="58"/>
      <c r="G75" s="575" t="s">
        <v>110</v>
      </c>
      <c r="H75" s="575"/>
      <c r="I75" s="575"/>
      <c r="J75" s="575"/>
      <c r="K75" s="575"/>
      <c r="L75" s="575"/>
      <c r="M75" s="575"/>
      <c r="N75" s="575"/>
      <c r="O75" s="575"/>
      <c r="P75" s="575"/>
      <c r="Q75" s="575"/>
      <c r="R75" s="575"/>
      <c r="S75" s="575"/>
    </row>
    <row r="76" spans="1:16" ht="12.75">
      <c r="A76" s="85"/>
      <c r="B76" s="63"/>
      <c r="C76" s="60"/>
      <c r="D76" s="60"/>
      <c r="G76" s="86"/>
      <c r="H76" s="86"/>
      <c r="I76" s="86"/>
      <c r="J76" s="86"/>
      <c r="K76" s="86"/>
      <c r="L76" s="86"/>
      <c r="M76" s="86"/>
      <c r="N76" s="86"/>
      <c r="O76" s="86"/>
      <c r="P76" s="90"/>
    </row>
    <row r="77" spans="1:16" ht="12.75">
      <c r="A77" s="62" t="s">
        <v>303</v>
      </c>
      <c r="B77" s="63"/>
      <c r="C77" s="60"/>
      <c r="D77" s="60"/>
      <c r="E77" s="64"/>
      <c r="F77" s="60"/>
      <c r="G77" s="60"/>
      <c r="H77" s="60"/>
      <c r="I77" s="59"/>
      <c r="P77" s="90"/>
    </row>
    <row r="78" spans="1:16" ht="12.75">
      <c r="A78" s="65"/>
      <c r="B78" s="63"/>
      <c r="C78" s="60"/>
      <c r="D78" s="60"/>
      <c r="E78" s="64"/>
      <c r="F78" s="60"/>
      <c r="G78" s="60"/>
      <c r="H78" s="60"/>
      <c r="I78" s="59"/>
      <c r="P78" s="90"/>
    </row>
    <row r="79" spans="1:2" ht="12.75">
      <c r="A79" s="61" t="s">
        <v>46</v>
      </c>
      <c r="B79" s="67" t="s">
        <v>47</v>
      </c>
    </row>
    <row r="80" spans="2:3" ht="12.75">
      <c r="B80" s="68" t="s">
        <v>301</v>
      </c>
      <c r="C80" s="69" t="s">
        <v>48</v>
      </c>
    </row>
    <row r="81" spans="3:4" ht="12.75">
      <c r="C81" s="61" t="s">
        <v>3</v>
      </c>
      <c r="D81" s="66" t="s">
        <v>114</v>
      </c>
    </row>
    <row r="82" spans="2:4" s="66" customFormat="1" ht="12.75">
      <c r="B82" s="95"/>
      <c r="C82" s="66" t="s">
        <v>5</v>
      </c>
      <c r="D82" s="66" t="s">
        <v>115</v>
      </c>
    </row>
    <row r="83" spans="2:4" s="66" customFormat="1" ht="12.75">
      <c r="B83" s="95"/>
      <c r="D83" s="66" t="s">
        <v>119</v>
      </c>
    </row>
    <row r="84" spans="2:4" s="66" customFormat="1" ht="12.75">
      <c r="B84" s="95"/>
      <c r="D84" s="66" t="s">
        <v>120</v>
      </c>
    </row>
    <row r="85" spans="2:4" s="66" customFormat="1" ht="12.75">
      <c r="B85" s="95"/>
      <c r="D85" s="66" t="s">
        <v>121</v>
      </c>
    </row>
    <row r="87" spans="2:3" ht="12.75">
      <c r="B87" s="68" t="s">
        <v>302</v>
      </c>
      <c r="C87" s="69" t="s">
        <v>49</v>
      </c>
    </row>
    <row r="88" spans="3:19" ht="12.75" customHeight="1">
      <c r="C88" s="579" t="s">
        <v>50</v>
      </c>
      <c r="D88" s="579"/>
      <c r="E88" s="579"/>
      <c r="F88" s="579"/>
      <c r="G88" s="579"/>
      <c r="H88" s="579"/>
      <c r="I88" s="579"/>
      <c r="J88" s="579"/>
      <c r="K88" s="579"/>
      <c r="L88" s="579"/>
      <c r="M88" s="579"/>
      <c r="N88" s="579"/>
      <c r="O88" s="579"/>
      <c r="P88" s="579"/>
      <c r="Q88" s="579"/>
      <c r="R88" s="579"/>
      <c r="S88" s="579"/>
    </row>
    <row r="89" spans="3:19" ht="12.75">
      <c r="C89" s="579"/>
      <c r="D89" s="579"/>
      <c r="E89" s="579"/>
      <c r="F89" s="579"/>
      <c r="G89" s="579"/>
      <c r="H89" s="579"/>
      <c r="I89" s="579"/>
      <c r="J89" s="579"/>
      <c r="K89" s="579"/>
      <c r="L89" s="579"/>
      <c r="M89" s="579"/>
      <c r="N89" s="579"/>
      <c r="O89" s="579"/>
      <c r="P89" s="579"/>
      <c r="Q89" s="579"/>
      <c r="R89" s="579"/>
      <c r="S89" s="579"/>
    </row>
    <row r="90" spans="3:15" ht="12.75">
      <c r="C90" s="78"/>
      <c r="D90" s="78"/>
      <c r="E90" s="78"/>
      <c r="F90" s="78"/>
      <c r="G90" s="78"/>
      <c r="H90" s="78"/>
      <c r="I90" s="78"/>
      <c r="J90" s="78"/>
      <c r="K90" s="78"/>
      <c r="L90" s="78"/>
      <c r="M90" s="78"/>
      <c r="N90" s="78"/>
      <c r="O90" s="78"/>
    </row>
    <row r="91" spans="2:19" ht="12.75">
      <c r="B91" s="68" t="s">
        <v>51</v>
      </c>
      <c r="C91" s="585" t="s">
        <v>52</v>
      </c>
      <c r="D91" s="574"/>
      <c r="E91" s="574"/>
      <c r="F91" s="574"/>
      <c r="G91" s="574"/>
      <c r="H91" s="574"/>
      <c r="I91" s="574"/>
      <c r="J91" s="574"/>
      <c r="K91" s="574"/>
      <c r="L91" s="574"/>
      <c r="M91" s="574"/>
      <c r="N91" s="574"/>
      <c r="O91" s="574"/>
      <c r="P91" s="574"/>
      <c r="Q91" s="574"/>
      <c r="R91" s="574"/>
      <c r="S91" s="574"/>
    </row>
    <row r="92" spans="3:19" ht="16.5" customHeight="1">
      <c r="C92" s="574"/>
      <c r="D92" s="574"/>
      <c r="E92" s="574"/>
      <c r="F92" s="574"/>
      <c r="G92" s="574"/>
      <c r="H92" s="574"/>
      <c r="I92" s="574"/>
      <c r="J92" s="574"/>
      <c r="K92" s="574"/>
      <c r="L92" s="574"/>
      <c r="M92" s="574"/>
      <c r="N92" s="574"/>
      <c r="O92" s="574"/>
      <c r="P92" s="574"/>
      <c r="Q92" s="574"/>
      <c r="R92" s="574"/>
      <c r="S92" s="574"/>
    </row>
    <row r="93" spans="3:19" ht="12.75">
      <c r="C93" s="79"/>
      <c r="D93" s="79"/>
      <c r="E93" s="79"/>
      <c r="F93" s="79"/>
      <c r="G93" s="79"/>
      <c r="H93" s="79"/>
      <c r="I93" s="79"/>
      <c r="J93" s="79"/>
      <c r="K93" s="79"/>
      <c r="L93" s="79"/>
      <c r="M93" s="79"/>
      <c r="N93" s="79"/>
      <c r="O93" s="79"/>
      <c r="P93" s="79"/>
      <c r="Q93" s="79"/>
      <c r="R93" s="79"/>
      <c r="S93" s="79"/>
    </row>
    <row r="94" spans="2:19" ht="12.75">
      <c r="B94" s="68" t="s">
        <v>1</v>
      </c>
      <c r="C94" s="574" t="s">
        <v>53</v>
      </c>
      <c r="D94" s="574"/>
      <c r="E94" s="574"/>
      <c r="F94" s="574"/>
      <c r="G94" s="574"/>
      <c r="H94" s="574"/>
      <c r="I94" s="574"/>
      <c r="J94" s="574"/>
      <c r="K94" s="574"/>
      <c r="L94" s="574"/>
      <c r="M94" s="574"/>
      <c r="N94" s="574"/>
      <c r="O94" s="574"/>
      <c r="P94" s="574"/>
      <c r="Q94" s="574"/>
      <c r="R94" s="574"/>
      <c r="S94" s="574"/>
    </row>
    <row r="95" spans="3:19" ht="41.25" customHeight="1">
      <c r="C95" s="574"/>
      <c r="D95" s="574"/>
      <c r="E95" s="574"/>
      <c r="F95" s="574"/>
      <c r="G95" s="574"/>
      <c r="H95" s="574"/>
      <c r="I95" s="574"/>
      <c r="J95" s="574"/>
      <c r="K95" s="574"/>
      <c r="L95" s="574"/>
      <c r="M95" s="574"/>
      <c r="N95" s="574"/>
      <c r="O95" s="574"/>
      <c r="P95" s="574"/>
      <c r="Q95" s="574"/>
      <c r="R95" s="574"/>
      <c r="S95" s="574"/>
    </row>
    <row r="96" spans="3:19" s="96" customFormat="1" ht="12.75">
      <c r="C96" s="66"/>
      <c r="D96" s="66"/>
      <c r="E96" s="66"/>
      <c r="F96" s="66"/>
      <c r="G96" s="66"/>
      <c r="H96" s="66"/>
      <c r="I96" s="66"/>
      <c r="J96" s="66"/>
      <c r="K96" s="97"/>
      <c r="M96" s="98" t="s">
        <v>111</v>
      </c>
      <c r="S96" s="98" t="s">
        <v>54</v>
      </c>
    </row>
    <row r="97" spans="1:20" s="66" customFormat="1" ht="15.75" customHeight="1">
      <c r="A97" s="93"/>
      <c r="B97" s="99">
        <v>5</v>
      </c>
      <c r="C97" s="69" t="s">
        <v>55</v>
      </c>
      <c r="M97" s="59" t="s">
        <v>56</v>
      </c>
      <c r="N97" s="100"/>
      <c r="S97" s="59" t="s">
        <v>56</v>
      </c>
      <c r="T97" s="100"/>
    </row>
    <row r="98" spans="3:20" s="66" customFormat="1" ht="12.75">
      <c r="C98" s="66" t="s">
        <v>57</v>
      </c>
      <c r="M98" s="100"/>
      <c r="N98" s="100"/>
      <c r="S98" s="100"/>
      <c r="T98" s="100"/>
    </row>
    <row r="99" spans="3:20" s="66" customFormat="1" ht="12.75">
      <c r="C99" s="66" t="s">
        <v>58</v>
      </c>
      <c r="G99" s="101"/>
      <c r="H99" s="101"/>
      <c r="I99" s="102"/>
      <c r="M99" s="103" t="e">
        <f>#REF!</f>
        <v>#REF!</v>
      </c>
      <c r="N99" s="103"/>
      <c r="S99" s="103" t="e">
        <f>#REF!</f>
        <v>#REF!</v>
      </c>
      <c r="T99" s="103"/>
    </row>
    <row r="100" spans="3:19" s="96" customFormat="1" ht="13.5" thickBot="1">
      <c r="C100" s="96" t="s">
        <v>209</v>
      </c>
      <c r="G100" s="104"/>
      <c r="H100" s="85"/>
      <c r="I100" s="85"/>
      <c r="M100" s="105" t="e">
        <f>SUM(M99:M99)</f>
        <v>#REF!</v>
      </c>
      <c r="S100" s="105" t="e">
        <f>SUM(S99:S99)</f>
        <v>#REF!</v>
      </c>
    </row>
    <row r="101" spans="14:20" s="66" customFormat="1" ht="13.5" thickTop="1">
      <c r="N101" s="103"/>
      <c r="Q101" s="103"/>
      <c r="S101" s="103"/>
      <c r="T101" s="103"/>
    </row>
    <row r="102" spans="2:20" s="66" customFormat="1" ht="12.75">
      <c r="B102" s="99">
        <v>6</v>
      </c>
      <c r="C102" s="69" t="s">
        <v>59</v>
      </c>
      <c r="N102" s="103"/>
      <c r="Q102" s="103"/>
      <c r="S102" s="103"/>
      <c r="T102" s="103"/>
    </row>
    <row r="103" spans="3:20" s="66" customFormat="1" ht="12.75">
      <c r="C103" s="66" t="s">
        <v>3</v>
      </c>
      <c r="D103" s="66" t="s">
        <v>60</v>
      </c>
      <c r="M103" s="103"/>
      <c r="N103" s="103"/>
      <c r="S103" s="103"/>
      <c r="T103" s="103"/>
    </row>
    <row r="104" spans="3:20" s="66" customFormat="1" ht="12.75">
      <c r="C104" s="66" t="s">
        <v>5</v>
      </c>
      <c r="D104" s="66" t="s">
        <v>61</v>
      </c>
      <c r="M104" s="103"/>
      <c r="N104" s="103"/>
      <c r="S104" s="103"/>
      <c r="T104" s="103"/>
    </row>
    <row r="105" spans="3:20" s="66" customFormat="1" ht="12.75">
      <c r="C105" s="66" t="s">
        <v>7</v>
      </c>
      <c r="D105" s="66" t="s">
        <v>62</v>
      </c>
      <c r="M105" s="106" t="e">
        <f>M103/M104</f>
        <v>#DIV/0!</v>
      </c>
      <c r="N105" s="103"/>
      <c r="S105" s="106" t="e">
        <f>+S103/S104</f>
        <v>#DIV/0!</v>
      </c>
      <c r="T105" s="103"/>
    </row>
    <row r="106" spans="14:20" s="66" customFormat="1" ht="12.75">
      <c r="N106" s="103"/>
      <c r="Q106" s="103"/>
      <c r="S106" s="103"/>
      <c r="T106" s="103"/>
    </row>
    <row r="107" spans="2:20" s="66" customFormat="1" ht="12.75">
      <c r="B107" s="99">
        <v>7</v>
      </c>
      <c r="C107" s="66" t="s">
        <v>63</v>
      </c>
      <c r="N107" s="103"/>
      <c r="Q107" s="103"/>
      <c r="S107" s="103"/>
      <c r="T107" s="103"/>
    </row>
    <row r="108" spans="2:20" s="66" customFormat="1" ht="12.75">
      <c r="B108" s="93"/>
      <c r="S108" s="107"/>
      <c r="T108" s="107"/>
    </row>
    <row r="109" spans="1:20" s="66" customFormat="1" ht="16.5" customHeight="1">
      <c r="A109" s="93"/>
      <c r="B109" s="99">
        <v>8</v>
      </c>
      <c r="C109" s="580" t="s">
        <v>112</v>
      </c>
      <c r="D109" s="580"/>
      <c r="E109" s="580"/>
      <c r="F109" s="580"/>
      <c r="G109" s="580"/>
      <c r="H109" s="580"/>
      <c r="I109" s="580"/>
      <c r="J109" s="580"/>
      <c r="K109" s="580"/>
      <c r="L109" s="580"/>
      <c r="M109" s="580"/>
      <c r="N109" s="580"/>
      <c r="O109" s="580"/>
      <c r="P109" s="580"/>
      <c r="Q109" s="580"/>
      <c r="R109" s="580"/>
      <c r="S109" s="580"/>
      <c r="T109" s="580"/>
    </row>
    <row r="110" spans="1:20" s="66" customFormat="1" ht="12.75" customHeight="1">
      <c r="A110" s="93"/>
      <c r="B110" s="75"/>
      <c r="C110" s="108"/>
      <c r="D110" s="72"/>
      <c r="E110" s="72"/>
      <c r="F110" s="72"/>
      <c r="G110" s="72"/>
      <c r="H110" s="72"/>
      <c r="I110" s="72"/>
      <c r="J110" s="72"/>
      <c r="K110" s="72"/>
      <c r="L110" s="72"/>
      <c r="M110" s="72"/>
      <c r="N110" s="72"/>
      <c r="O110" s="72"/>
      <c r="P110" s="72"/>
      <c r="Q110" s="72"/>
      <c r="R110" s="72"/>
      <c r="S110" s="72"/>
      <c r="T110" s="72"/>
    </row>
    <row r="111" spans="1:20" s="66" customFormat="1" ht="12.75" customHeight="1">
      <c r="A111" s="93"/>
      <c r="B111" s="75"/>
      <c r="C111" s="108"/>
      <c r="D111" s="72"/>
      <c r="E111" s="72"/>
      <c r="F111" s="72"/>
      <c r="G111" s="72"/>
      <c r="H111" s="72"/>
      <c r="I111" s="72"/>
      <c r="J111" s="72"/>
      <c r="K111" s="72"/>
      <c r="L111" s="72"/>
      <c r="M111" s="72"/>
      <c r="N111" s="96" t="s">
        <v>64</v>
      </c>
      <c r="O111" s="61"/>
      <c r="P111" s="61"/>
      <c r="Q111" s="61"/>
      <c r="R111" s="72"/>
      <c r="S111" s="72"/>
      <c r="T111" s="72"/>
    </row>
    <row r="112" spans="1:20" s="66" customFormat="1" ht="12.75" customHeight="1">
      <c r="A112" s="93"/>
      <c r="C112" s="72"/>
      <c r="D112" s="72"/>
      <c r="E112" s="72"/>
      <c r="F112" s="72"/>
      <c r="G112" s="72"/>
      <c r="H112" s="72"/>
      <c r="I112" s="72"/>
      <c r="J112" s="72"/>
      <c r="K112" s="72"/>
      <c r="L112" s="72"/>
      <c r="M112" s="72"/>
      <c r="N112" s="96" t="s">
        <v>65</v>
      </c>
      <c r="O112" s="61"/>
      <c r="P112" s="61"/>
      <c r="Q112" s="61"/>
      <c r="R112" s="72"/>
      <c r="S112" s="72"/>
      <c r="T112" s="72"/>
    </row>
    <row r="113" spans="1:17" s="66" customFormat="1" ht="12.75">
      <c r="A113" s="93"/>
      <c r="C113" s="72"/>
      <c r="D113" s="72"/>
      <c r="E113" s="72"/>
      <c r="F113" s="72"/>
      <c r="G113" s="96" t="s">
        <v>66</v>
      </c>
      <c r="K113" s="96" t="s">
        <v>66</v>
      </c>
      <c r="L113" s="72"/>
      <c r="M113" s="72"/>
      <c r="N113" s="96" t="s">
        <v>67</v>
      </c>
      <c r="O113" s="61"/>
      <c r="P113" s="61"/>
      <c r="Q113" s="61"/>
    </row>
    <row r="114" spans="14:17" s="66" customFormat="1" ht="12.75">
      <c r="N114" s="61"/>
      <c r="O114" s="61"/>
      <c r="P114" s="61"/>
      <c r="Q114" s="61"/>
    </row>
    <row r="115" spans="14:17" s="66" customFormat="1" ht="12" customHeight="1">
      <c r="N115" s="61"/>
      <c r="O115" s="61"/>
      <c r="P115" s="61"/>
      <c r="Q115" s="61"/>
    </row>
    <row r="116" spans="14:17" s="66" customFormat="1" ht="12.75">
      <c r="N116" s="61"/>
      <c r="O116" s="99" t="s">
        <v>68</v>
      </c>
      <c r="P116" s="61"/>
      <c r="Q116" s="61"/>
    </row>
    <row r="117" spans="14:17" s="66" customFormat="1" ht="12.75">
      <c r="N117" s="61"/>
      <c r="O117" s="96" t="s">
        <v>69</v>
      </c>
      <c r="P117" s="61"/>
      <c r="Q117" s="61"/>
    </row>
    <row r="118" spans="14:17" s="66" customFormat="1" ht="12.75">
      <c r="N118" s="61"/>
      <c r="O118" s="99"/>
      <c r="P118" s="61"/>
      <c r="Q118" s="61"/>
    </row>
    <row r="119" spans="1:17" s="66" customFormat="1" ht="12.75">
      <c r="A119" s="96" t="s">
        <v>70</v>
      </c>
      <c r="Q119" s="96" t="s">
        <v>71</v>
      </c>
    </row>
    <row r="120" spans="1:17" s="66" customFormat="1" ht="12.75">
      <c r="A120" s="96" t="s">
        <v>113</v>
      </c>
      <c r="Q120" s="99" t="s">
        <v>72</v>
      </c>
    </row>
  </sheetData>
  <sheetProtection/>
  <mergeCells count="24">
    <mergeCell ref="C88:S89"/>
    <mergeCell ref="C91:S92"/>
    <mergeCell ref="G36:O36"/>
    <mergeCell ref="C45:D45"/>
    <mergeCell ref="C46:O47"/>
    <mergeCell ref="C50:O52"/>
    <mergeCell ref="C94:S95"/>
    <mergeCell ref="C109:T109"/>
    <mergeCell ref="D55:P56"/>
    <mergeCell ref="D57:P58"/>
    <mergeCell ref="D61:P62"/>
    <mergeCell ref="D63:P64"/>
    <mergeCell ref="C66:K66"/>
    <mergeCell ref="C68:P68"/>
    <mergeCell ref="C70:K70"/>
    <mergeCell ref="G75:S75"/>
    <mergeCell ref="C26:O27"/>
    <mergeCell ref="D34:Q34"/>
    <mergeCell ref="G1:O1"/>
    <mergeCell ref="C7:R7"/>
    <mergeCell ref="C9:R9"/>
    <mergeCell ref="C12:Q12"/>
    <mergeCell ref="C16:R16"/>
    <mergeCell ref="D20:O21"/>
  </mergeCells>
  <printOptions horizontalCentered="1"/>
  <pageMargins left="1.49" right="0.28" top="0.79" bottom="0.61" header="0.29" footer="0.35"/>
  <pageSetup horizontalDpi="180" verticalDpi="180" orientation="landscape" paperSize="5" scale="84" r:id="rId2"/>
  <rowBreaks count="2" manualBreakCount="2">
    <brk id="35" max="255" man="1"/>
    <brk id="74" max="255" man="1"/>
  </row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9">
      <selection activeCell="D45" sqref="D45"/>
    </sheetView>
  </sheetViews>
  <sheetFormatPr defaultColWidth="9.140625" defaultRowHeight="15"/>
  <cols>
    <col min="1" max="1" width="4.28125" style="61" customWidth="1"/>
    <col min="2" max="2" width="10.8515625" style="61" customWidth="1"/>
    <col min="3" max="3" width="15.7109375" style="61" customWidth="1"/>
    <col min="4" max="4" width="17.421875" style="61" customWidth="1"/>
    <col min="5" max="5" width="3.140625" style="61" customWidth="1"/>
    <col min="6" max="6" width="17.421875" style="61" customWidth="1"/>
    <col min="7" max="7" width="12.57421875" style="61" customWidth="1"/>
    <col min="8" max="8" width="3.00390625" style="61" customWidth="1"/>
    <col min="9" max="9" width="3.8515625" style="61" customWidth="1"/>
    <col min="10" max="16384" width="9.140625" style="61" customWidth="1"/>
  </cols>
  <sheetData>
    <row r="1" ht="12.75">
      <c r="A1" s="96"/>
    </row>
    <row r="2" ht="6" customHeight="1">
      <c r="A2" s="96"/>
    </row>
    <row r="3" spans="1:9" ht="12.75">
      <c r="A3" s="587" t="s">
        <v>73</v>
      </c>
      <c r="B3" s="578"/>
      <c r="C3" s="578"/>
      <c r="D3" s="578"/>
      <c r="E3" s="578"/>
      <c r="F3" s="578"/>
      <c r="G3" s="578"/>
      <c r="H3" s="578"/>
      <c r="I3" s="578"/>
    </row>
    <row r="4" spans="1:9" ht="12.75">
      <c r="A4" s="578"/>
      <c r="B4" s="578"/>
      <c r="C4" s="578"/>
      <c r="D4" s="578"/>
      <c r="E4" s="578"/>
      <c r="F4" s="578"/>
      <c r="G4" s="578"/>
      <c r="H4" s="578"/>
      <c r="I4" s="578"/>
    </row>
    <row r="5" ht="12.75">
      <c r="A5" s="69" t="s">
        <v>74</v>
      </c>
    </row>
    <row r="7" spans="1:2" ht="12.75">
      <c r="A7" s="74" t="s">
        <v>284</v>
      </c>
      <c r="B7" s="96" t="s">
        <v>75</v>
      </c>
    </row>
    <row r="8" spans="1:7" ht="18.75" customHeight="1">
      <c r="A8" s="74"/>
      <c r="B8" s="61" t="s">
        <v>76</v>
      </c>
      <c r="D8" s="109" t="s">
        <v>77</v>
      </c>
      <c r="G8" s="61" t="s">
        <v>78</v>
      </c>
    </row>
    <row r="9" spans="1:4" ht="12.75">
      <c r="A9" s="74"/>
      <c r="D9" s="74"/>
    </row>
    <row r="10" spans="1:4" ht="12.75">
      <c r="A10" s="74"/>
      <c r="B10" s="61" t="s">
        <v>79</v>
      </c>
      <c r="D10" s="110" t="s">
        <v>116</v>
      </c>
    </row>
    <row r="11" ht="12.75">
      <c r="A11" s="74"/>
    </row>
    <row r="12" spans="1:2" ht="12.75">
      <c r="A12" s="74" t="s">
        <v>259</v>
      </c>
      <c r="B12" s="96" t="s">
        <v>80</v>
      </c>
    </row>
    <row r="14" spans="4:9" ht="13.5" customHeight="1">
      <c r="D14" s="111" t="s">
        <v>81</v>
      </c>
      <c r="G14" s="112" t="s">
        <v>82</v>
      </c>
      <c r="H14" s="112"/>
      <c r="I14" s="112"/>
    </row>
    <row r="15" spans="4:9" ht="16.5" customHeight="1">
      <c r="D15" s="111" t="s">
        <v>83</v>
      </c>
      <c r="G15" s="113" t="s">
        <v>84</v>
      </c>
      <c r="H15" s="112"/>
      <c r="I15" s="112"/>
    </row>
    <row r="17" spans="1:2" ht="12.75">
      <c r="A17" s="74" t="s">
        <v>285</v>
      </c>
      <c r="B17" s="96" t="s">
        <v>85</v>
      </c>
    </row>
    <row r="19" spans="4:7" ht="12.75">
      <c r="D19" s="76" t="s">
        <v>86</v>
      </c>
      <c r="G19" s="60" t="s">
        <v>87</v>
      </c>
    </row>
    <row r="20" spans="4:8" ht="12.75">
      <c r="D20" s="114" t="e">
        <f>ROUND('Balance sheet(gfs)'!#REF!/1000,0)</f>
        <v>#REF!</v>
      </c>
      <c r="G20" s="110" t="e">
        <f>D20</f>
        <v>#REF!</v>
      </c>
      <c r="H20" s="112"/>
    </row>
    <row r="22" spans="2:7" ht="12.75">
      <c r="B22" s="96" t="s">
        <v>88</v>
      </c>
      <c r="D22" s="76" t="s">
        <v>89</v>
      </c>
      <c r="G22" s="61" t="s">
        <v>238</v>
      </c>
    </row>
    <row r="23" spans="4:8" ht="15">
      <c r="D23" s="114">
        <v>6000</v>
      </c>
      <c r="G23" s="115">
        <f>ROUND('Balance sheet(gfs)'!J10/1000,0)</f>
        <v>-29451</v>
      </c>
      <c r="H23" s="112"/>
    </row>
    <row r="25" spans="4:7" ht="12.75">
      <c r="D25" s="76" t="s">
        <v>90</v>
      </c>
      <c r="G25" s="61" t="s">
        <v>91</v>
      </c>
    </row>
    <row r="26" spans="4:8" ht="12.75">
      <c r="D26" s="114" t="s">
        <v>92</v>
      </c>
      <c r="G26" s="114" t="s">
        <v>92</v>
      </c>
      <c r="H26" s="112"/>
    </row>
    <row r="29" spans="2:7" ht="12.75">
      <c r="B29" s="96" t="s">
        <v>93</v>
      </c>
      <c r="D29" s="76" t="s">
        <v>94</v>
      </c>
      <c r="G29" s="61" t="s">
        <v>95</v>
      </c>
    </row>
    <row r="30" spans="4:8" ht="12.75">
      <c r="D30" s="114" t="s">
        <v>92</v>
      </c>
      <c r="G30" s="114" t="s">
        <v>92</v>
      </c>
      <c r="H30" s="112"/>
    </row>
    <row r="32" spans="4:7" ht="12.75">
      <c r="D32" s="76" t="s">
        <v>96</v>
      </c>
      <c r="G32" s="61" t="s">
        <v>97</v>
      </c>
    </row>
    <row r="33" spans="4:8" ht="12.75">
      <c r="D33" s="114">
        <f>ROUND('Balance sheet(gfs)'!J51/1000,0)</f>
        <v>59674</v>
      </c>
      <c r="G33" s="114" t="s">
        <v>92</v>
      </c>
      <c r="H33" s="112"/>
    </row>
    <row r="36" spans="1:2" ht="12.75">
      <c r="A36" s="74" t="s">
        <v>286</v>
      </c>
      <c r="B36" s="96" t="s">
        <v>98</v>
      </c>
    </row>
    <row r="38" spans="4:7" ht="12.75">
      <c r="D38" s="74" t="s">
        <v>99</v>
      </c>
      <c r="G38" s="61" t="s">
        <v>100</v>
      </c>
    </row>
    <row r="39" spans="4:8" ht="12.75">
      <c r="D39" s="114">
        <f>ROUND('Profit &amp; Loss(gfs)'!I12/1000,0)</f>
        <v>17820</v>
      </c>
      <c r="G39" s="114">
        <f>ROUND('Profit &amp; Loss(gfs)'!I23/1000,0)</f>
        <v>17343</v>
      </c>
      <c r="H39" s="112"/>
    </row>
    <row r="41" spans="4:7" ht="12.75">
      <c r="D41" s="76" t="s">
        <v>101</v>
      </c>
      <c r="G41" s="61" t="s">
        <v>102</v>
      </c>
    </row>
    <row r="42" spans="4:8" ht="12.75">
      <c r="D42" s="118" t="s">
        <v>118</v>
      </c>
      <c r="G42" s="118" t="s">
        <v>118</v>
      </c>
      <c r="H42" s="112"/>
    </row>
    <row r="44" spans="4:7" ht="12.75">
      <c r="D44" s="76" t="s">
        <v>103</v>
      </c>
      <c r="G44" s="61" t="s">
        <v>104</v>
      </c>
    </row>
    <row r="45" spans="4:8" ht="15">
      <c r="D45" s="116" t="s">
        <v>117</v>
      </c>
      <c r="E45" s="112"/>
      <c r="G45" s="114">
        <v>0</v>
      </c>
      <c r="H45" s="112"/>
    </row>
    <row r="47" spans="1:2" ht="12.75">
      <c r="A47" s="74" t="s">
        <v>288</v>
      </c>
      <c r="B47" s="117" t="s">
        <v>105</v>
      </c>
    </row>
    <row r="49" spans="2:7" ht="12.75">
      <c r="B49" s="61" t="s">
        <v>106</v>
      </c>
      <c r="D49" s="110" t="s">
        <v>107</v>
      </c>
      <c r="E49" s="60"/>
      <c r="G49" s="110" t="s">
        <v>107</v>
      </c>
    </row>
    <row r="51" spans="2:7" ht="12.75">
      <c r="B51" s="61" t="s">
        <v>108</v>
      </c>
      <c r="D51" s="93" t="s">
        <v>107</v>
      </c>
      <c r="G51" s="93" t="s">
        <v>107</v>
      </c>
    </row>
    <row r="55" spans="4:6" ht="12.75">
      <c r="D55" s="96" t="s">
        <v>66</v>
      </c>
      <c r="E55" s="96"/>
      <c r="F55" s="96" t="s">
        <v>66</v>
      </c>
    </row>
    <row r="56" ht="12.75">
      <c r="A56" s="96" t="s">
        <v>109</v>
      </c>
    </row>
    <row r="57" ht="12.75">
      <c r="A57" s="96">
        <f>'Balance sheet(gfs)'!B60</f>
        <v>0</v>
      </c>
    </row>
  </sheetData>
  <sheetProtection/>
  <mergeCells count="1">
    <mergeCell ref="A3:I4"/>
  </mergeCells>
  <printOptions horizontalCentered="1"/>
  <pageMargins left="0" right="0" top="1" bottom="0.5" header="0.5" footer="0.51"/>
  <pageSetup fitToHeight="1" fitToWidth="1" horizontalDpi="300" verticalDpi="300" orientation="portrait" paperSize="5" r:id="rId1"/>
  <ignoredErrors>
    <ignoredError sqref="D8" numberStoredAsText="1"/>
  </ignoredErrors>
</worksheet>
</file>

<file path=xl/worksheets/sheet3.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L11" sqref="L11"/>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4.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499" t="s">
        <v>319</v>
      </c>
      <c r="I6" s="499" t="s">
        <v>319</v>
      </c>
      <c r="J6" s="499" t="s">
        <v>319</v>
      </c>
      <c r="K6" s="499" t="s">
        <v>319</v>
      </c>
      <c r="L6" s="499" t="s">
        <v>319</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500" t="s">
        <v>322</v>
      </c>
      <c r="I7" s="500" t="s">
        <v>322</v>
      </c>
      <c r="J7" s="500" t="s">
        <v>322</v>
      </c>
      <c r="K7" s="500" t="s">
        <v>322</v>
      </c>
      <c r="L7" s="500" t="s">
        <v>322</v>
      </c>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1792457065</v>
      </c>
      <c r="I9" s="175">
        <v>1771789440</v>
      </c>
      <c r="J9" s="175">
        <v>1808337240</v>
      </c>
      <c r="K9" s="175">
        <v>1783062005</v>
      </c>
      <c r="L9" s="175">
        <v>1645518939</v>
      </c>
      <c r="M9" s="175"/>
      <c r="N9" s="175"/>
      <c r="O9" s="175"/>
      <c r="P9" s="175"/>
      <c r="Q9" s="175"/>
      <c r="R9" s="175"/>
      <c r="S9" s="175"/>
      <c r="T9" s="175"/>
      <c r="U9" s="175"/>
      <c r="V9" s="175"/>
      <c r="W9" s="175"/>
      <c r="X9" s="175"/>
      <c r="Y9" s="175"/>
      <c r="Z9" s="175"/>
      <c r="AA9" s="175"/>
      <c r="AB9" s="175">
        <f>+H9+J9+L9+N9+P9+R9+T9+V9+X9+Z9</f>
        <v>5246313244</v>
      </c>
      <c r="AC9" s="175">
        <f>+I9+K9+M9+O9+Q9+S9+U9+W9+Y9+AA9</f>
        <v>3554851445</v>
      </c>
      <c r="AD9" s="191" t="e">
        <f>#REF!</f>
        <v>#REF!</v>
      </c>
      <c r="AE9" s="192"/>
    </row>
    <row r="10" spans="2:31" ht="15.75">
      <c r="B10" s="260" t="s">
        <v>259</v>
      </c>
      <c r="C10" s="32" t="s">
        <v>357</v>
      </c>
      <c r="D10" s="260"/>
      <c r="E10" s="32"/>
      <c r="F10" s="368"/>
      <c r="G10" s="193" t="s">
        <v>180</v>
      </c>
      <c r="H10" s="193">
        <v>4236904</v>
      </c>
      <c r="I10" s="175">
        <v>4648459</v>
      </c>
      <c r="J10" s="175">
        <v>4917281</v>
      </c>
      <c r="K10" s="175">
        <v>5250947</v>
      </c>
      <c r="L10" s="175">
        <v>4124091</v>
      </c>
      <c r="M10" s="175"/>
      <c r="N10" s="175"/>
      <c r="O10" s="175"/>
      <c r="P10" s="175"/>
      <c r="Q10" s="175"/>
      <c r="R10" s="175"/>
      <c r="S10" s="175"/>
      <c r="T10" s="175"/>
      <c r="U10" s="175"/>
      <c r="V10" s="175"/>
      <c r="W10" s="175"/>
      <c r="X10" s="175"/>
      <c r="Y10" s="175"/>
      <c r="Z10" s="175"/>
      <c r="AA10" s="175"/>
      <c r="AB10" s="175">
        <f>+H10+J10+L10+N10+P10+R10+T10+V10+X10+Z10</f>
        <v>13278276</v>
      </c>
      <c r="AC10" s="175">
        <f>+I10+K10+M10+O10+Q10+S10+U10+W10+Y10+AA10</f>
        <v>9899406</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1796693969</v>
      </c>
      <c r="I12" s="475">
        <v>1776437899</v>
      </c>
      <c r="J12" s="475">
        <f>SUM(J9:J11)</f>
        <v>1813254521</v>
      </c>
      <c r="K12" s="475">
        <f>SUM(K9:K11)</f>
        <v>1788312952</v>
      </c>
      <c r="L12" s="476">
        <f>SUM(L9:L11)</f>
        <v>1649643030</v>
      </c>
      <c r="M12" s="477"/>
      <c r="N12" s="477"/>
      <c r="O12" s="477"/>
      <c r="P12" s="477"/>
      <c r="Q12" s="477"/>
      <c r="R12" s="477"/>
      <c r="S12" s="477"/>
      <c r="T12" s="477"/>
      <c r="U12" s="477"/>
      <c r="V12" s="477"/>
      <c r="W12" s="477"/>
      <c r="X12" s="477"/>
      <c r="Y12" s="477"/>
      <c r="Z12" s="477"/>
      <c r="AA12" s="477"/>
      <c r="AB12" s="478">
        <f>+H12+J12+L12+N12+P12+R12+T12+V12+X12+Z12</f>
        <v>5259591520</v>
      </c>
      <c r="AC12" s="479">
        <f>+I12+K12+M12+O12+Q12+S12+U12+W12+Y12+AA12</f>
        <v>3564750851</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0</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0</v>
      </c>
      <c r="AC14" s="175">
        <f>I14+K14+M14+O14+Q14+S14+U14+Y14+AA14</f>
        <v>0</v>
      </c>
      <c r="AD14" s="191" t="e">
        <f>#REF!</f>
        <v>#REF!</v>
      </c>
      <c r="AF14" s="192"/>
    </row>
    <row r="15" spans="2:32" ht="15.75">
      <c r="B15" s="32"/>
      <c r="C15" s="249" t="s">
        <v>242</v>
      </c>
      <c r="D15" s="297" t="s">
        <v>361</v>
      </c>
      <c r="E15" s="297"/>
      <c r="F15" s="216"/>
      <c r="G15" s="193" t="s">
        <v>232</v>
      </c>
      <c r="H15" s="193">
        <v>1750247305</v>
      </c>
      <c r="I15" s="175">
        <v>1713251625</v>
      </c>
      <c r="J15" s="175">
        <v>1771263807.96</v>
      </c>
      <c r="K15" s="175">
        <v>1746990458</v>
      </c>
      <c r="L15" s="175">
        <v>1605287339</v>
      </c>
      <c r="M15" s="175"/>
      <c r="N15" s="175"/>
      <c r="O15" s="175"/>
      <c r="P15" s="175"/>
      <c r="Q15" s="175"/>
      <c r="R15" s="175"/>
      <c r="S15" s="175"/>
      <c r="T15" s="175"/>
      <c r="U15" s="175"/>
      <c r="V15" s="175"/>
      <c r="W15" s="175"/>
      <c r="X15" s="175"/>
      <c r="Y15" s="175"/>
      <c r="Z15" s="175"/>
      <c r="AA15" s="175"/>
      <c r="AB15" s="175">
        <f>+H15+J15+L15+N15+P15+R15+T15+V15+X15+Z15</f>
        <v>5126798451.96</v>
      </c>
      <c r="AC15" s="175">
        <f>I15+K15+M15+O15+Q15+S15+U15+Y15+AA15+W15</f>
        <v>3460242083</v>
      </c>
      <c r="AD15" s="191">
        <v>7993970783.59</v>
      </c>
      <c r="AF15" s="192"/>
    </row>
    <row r="16" spans="2:32" ht="15.75" customHeight="1">
      <c r="B16" s="32"/>
      <c r="C16" s="249" t="s">
        <v>243</v>
      </c>
      <c r="D16" s="555" t="s">
        <v>374</v>
      </c>
      <c r="E16" s="555"/>
      <c r="F16" s="555"/>
      <c r="G16" s="550" t="s">
        <v>233</v>
      </c>
      <c r="H16" s="550">
        <v>-17307771</v>
      </c>
      <c r="I16" s="551">
        <v>-105522</v>
      </c>
      <c r="J16" s="551">
        <v>-949735</v>
      </c>
      <c r="K16" s="551">
        <f>20664950-24411958</f>
        <v>-3747008</v>
      </c>
      <c r="L16" s="551">
        <f>20369029-20664950</f>
        <v>-295921</v>
      </c>
      <c r="M16" s="551"/>
      <c r="N16" s="551"/>
      <c r="O16" s="551"/>
      <c r="P16" s="551"/>
      <c r="Q16" s="551"/>
      <c r="R16" s="551"/>
      <c r="S16" s="551"/>
      <c r="T16" s="551"/>
      <c r="U16" s="551"/>
      <c r="V16" s="551"/>
      <c r="W16" s="551"/>
      <c r="X16" s="551"/>
      <c r="Y16" s="551"/>
      <c r="Z16" s="551"/>
      <c r="AA16" s="551"/>
      <c r="AB16" s="175">
        <f>+J16+L16+T16+V16</f>
        <v>-1245656</v>
      </c>
      <c r="AC16" s="551">
        <f>+K16+M16+U16+W16</f>
        <v>-3747008</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51351404</v>
      </c>
      <c r="I18" s="175">
        <v>52987479</v>
      </c>
      <c r="J18" s="175">
        <v>46222940</v>
      </c>
      <c r="K18" s="175">
        <v>42873313</v>
      </c>
      <c r="L18" s="175">
        <v>33028056</v>
      </c>
      <c r="M18" s="175"/>
      <c r="N18" s="175"/>
      <c r="O18" s="175"/>
      <c r="P18" s="175"/>
      <c r="Q18" s="175"/>
      <c r="R18" s="175"/>
      <c r="S18" s="175"/>
      <c r="T18" s="175"/>
      <c r="U18" s="175"/>
      <c r="V18" s="175"/>
      <c r="W18" s="175"/>
      <c r="X18" s="175"/>
      <c r="Y18" s="175"/>
      <c r="Z18" s="175"/>
      <c r="AA18" s="175"/>
      <c r="AB18" s="175">
        <f>+H18+J18+L18+N18+P18+R18+T18+V18+X18+Z18</f>
        <v>130602400</v>
      </c>
      <c r="AC18" s="175">
        <f>+I18+K18+M18+O18+Q18+S18+U18+W18+Y18+AA18</f>
        <v>95860792</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192031</v>
      </c>
      <c r="I20" s="175">
        <v>195089.36</v>
      </c>
      <c r="J20" s="175">
        <v>207809</v>
      </c>
      <c r="K20" s="175">
        <v>211729</v>
      </c>
      <c r="L20" s="175">
        <v>222341</v>
      </c>
      <c r="M20" s="175"/>
      <c r="N20" s="175"/>
      <c r="O20" s="175"/>
      <c r="P20" s="175"/>
      <c r="Q20" s="175"/>
      <c r="R20" s="175"/>
      <c r="S20" s="175"/>
      <c r="T20" s="175"/>
      <c r="U20" s="175"/>
      <c r="V20" s="175"/>
      <c r="W20" s="175"/>
      <c r="X20" s="175"/>
      <c r="Y20" s="175"/>
      <c r="Z20" s="175"/>
      <c r="AA20" s="175"/>
      <c r="AB20" s="175">
        <f>+H20+J20+L20+N20+P20+R20+T20+V20+X20+Z20</f>
        <v>622181</v>
      </c>
      <c r="AC20" s="175">
        <f>+I20+K20+M20+O20+Q20+S20+U20+W20+Y20+AA20</f>
        <v>406818.36</v>
      </c>
      <c r="AD20" s="191">
        <v>15784125.999999998</v>
      </c>
      <c r="AF20" s="192"/>
    </row>
    <row r="21" spans="2:32" ht="15.75">
      <c r="B21" s="176"/>
      <c r="C21" s="249" t="s">
        <v>287</v>
      </c>
      <c r="D21" s="297" t="s">
        <v>365</v>
      </c>
      <c r="F21" s="216"/>
      <c r="G21" s="193" t="s">
        <v>235</v>
      </c>
      <c r="H21" s="193">
        <v>44773718</v>
      </c>
      <c r="I21" s="175">
        <v>31356766</v>
      </c>
      <c r="J21" s="175">
        <v>26203263.56</v>
      </c>
      <c r="K21" s="175">
        <f>23953641+40000</f>
        <v>23993641</v>
      </c>
      <c r="L21" s="175">
        <f>20415675+10450</f>
        <v>20426125</v>
      </c>
      <c r="M21" s="175"/>
      <c r="N21" s="175"/>
      <c r="O21" s="175"/>
      <c r="P21" s="175"/>
      <c r="Q21" s="175"/>
      <c r="R21" s="175"/>
      <c r="S21" s="175"/>
      <c r="T21" s="175"/>
      <c r="U21" s="175"/>
      <c r="V21" s="175"/>
      <c r="W21" s="175"/>
      <c r="X21" s="175"/>
      <c r="Y21" s="175"/>
      <c r="Z21" s="175"/>
      <c r="AA21" s="175"/>
      <c r="AB21" s="175">
        <f>+H21+J21+L21+N21+P21+R21+T21+V21+X21+Z21</f>
        <v>91403106.56</v>
      </c>
      <c r="AC21" s="175">
        <f>+I21+K21+M21+O21+Q21+S21+U21+W21+Y21+AA21</f>
        <v>55350407</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1829256687</v>
      </c>
      <c r="I23" s="481">
        <v>1797685437.36</v>
      </c>
      <c r="J23" s="481">
        <f>SUM(J14:J22)</f>
        <v>1842948085.52</v>
      </c>
      <c r="K23" s="481">
        <f>SUM(K14:K22)</f>
        <v>1810322133</v>
      </c>
      <c r="L23" s="482">
        <f>SUM(L15:L22)-1</f>
        <v>1658667939</v>
      </c>
      <c r="M23" s="483"/>
      <c r="N23" s="483"/>
      <c r="O23" s="483"/>
      <c r="P23" s="483"/>
      <c r="Q23" s="483"/>
      <c r="R23" s="483"/>
      <c r="S23" s="483"/>
      <c r="T23" s="483"/>
      <c r="U23" s="483"/>
      <c r="V23" s="483"/>
      <c r="W23" s="483"/>
      <c r="X23" s="483"/>
      <c r="Y23" s="483"/>
      <c r="Z23" s="483"/>
      <c r="AA23" s="483"/>
      <c r="AB23" s="478">
        <f>+H23+J23+L23+N23+P23+R23+T23+V23+X23+Z23+1</f>
        <v>5330872712.52</v>
      </c>
      <c r="AC23" s="479">
        <f>+I23+K23+M23+O23+Q23+S23+U23+W23+Y23+AA23</f>
        <v>3608007570.3599997</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-32562718</v>
      </c>
      <c r="I25" s="178">
        <f>+I12-I23</f>
        <v>-21247538.359999895</v>
      </c>
      <c r="J25" s="178">
        <f>+J12-J23</f>
        <v>-29693564.51999998</v>
      </c>
      <c r="K25" s="178">
        <f>+K12-K23</f>
        <v>-22009181</v>
      </c>
      <c r="L25" s="178">
        <f>+L12-L23</f>
        <v>-9024909</v>
      </c>
      <c r="M25" s="178"/>
      <c r="N25" s="178"/>
      <c r="O25" s="178"/>
      <c r="P25" s="178"/>
      <c r="Q25" s="178"/>
      <c r="R25" s="178"/>
      <c r="S25" s="178"/>
      <c r="T25" s="178"/>
      <c r="U25" s="178"/>
      <c r="V25" s="178"/>
      <c r="W25" s="178"/>
      <c r="X25" s="178"/>
      <c r="Y25" s="178"/>
      <c r="Z25" s="178"/>
      <c r="AA25" s="178"/>
      <c r="AB25" s="175">
        <f>+H25+J25+L25+N25+P25+R25+T25+V25+X25+Z25</f>
        <v>-71281191.51999998</v>
      </c>
      <c r="AC25" s="175">
        <f>+I25+K25+M25+O25+Q25+S25+U25+W25+Y25+AA25</f>
        <v>-43256719.359999895</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v>0</v>
      </c>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-32562718</v>
      </c>
      <c r="I28" s="180">
        <f>+I25-I27</f>
        <v>-21247538.359999895</v>
      </c>
      <c r="J28" s="180">
        <f>+J25-J27</f>
        <v>-29693564.51999998</v>
      </c>
      <c r="K28" s="180">
        <f>+K25-K27</f>
        <v>-22009181</v>
      </c>
      <c r="L28" s="180">
        <f>+L25-L27</f>
        <v>-9024909</v>
      </c>
      <c r="M28" s="180"/>
      <c r="N28" s="180"/>
      <c r="O28" s="180"/>
      <c r="P28" s="180"/>
      <c r="Q28" s="180"/>
      <c r="R28" s="180"/>
      <c r="S28" s="180"/>
      <c r="T28" s="180"/>
      <c r="U28" s="180"/>
      <c r="V28" s="180"/>
      <c r="W28" s="180"/>
      <c r="X28" s="180"/>
      <c r="Y28" s="180"/>
      <c r="Z28" s="180"/>
      <c r="AA28" s="180"/>
      <c r="AB28" s="175">
        <f>+H28+J28+L28+N28+P28+R28+T28+V28+X28+Z28</f>
        <v>-71281191.51999998</v>
      </c>
      <c r="AC28" s="175">
        <f>+I28+K28+M28+O28+Q28+S28+U28+W28+Y28+AA28</f>
        <v>-43256719.359999895</v>
      </c>
      <c r="AD28" s="180" t="e">
        <f>+AD25-AD27</f>
        <v>#REF!</v>
      </c>
    </row>
    <row r="29" spans="2:30" ht="15.75">
      <c r="B29" s="260" t="s">
        <v>291</v>
      </c>
      <c r="C29" s="32" t="s">
        <v>368</v>
      </c>
      <c r="D29" s="297"/>
      <c r="E29" s="338"/>
      <c r="F29" s="216"/>
      <c r="G29" s="193"/>
      <c r="H29" s="193"/>
      <c r="I29" s="180">
        <v>0</v>
      </c>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-32562718</v>
      </c>
      <c r="I30" s="487">
        <f>+I28-I29</f>
        <v>-21247538.359999895</v>
      </c>
      <c r="J30" s="487">
        <f>+J28-J29</f>
        <v>-29693564.51999998</v>
      </c>
      <c r="K30" s="487">
        <f>+K28-K29</f>
        <v>-22009181</v>
      </c>
      <c r="L30" s="487">
        <f>+L28-L29</f>
        <v>-9024909</v>
      </c>
      <c r="M30" s="487"/>
      <c r="N30" s="487"/>
      <c r="O30" s="487"/>
      <c r="P30" s="487"/>
      <c r="Q30" s="487"/>
      <c r="R30" s="487"/>
      <c r="S30" s="487"/>
      <c r="T30" s="487"/>
      <c r="U30" s="487"/>
      <c r="V30" s="487"/>
      <c r="W30" s="487"/>
      <c r="X30" s="487"/>
      <c r="Y30" s="487"/>
      <c r="Z30" s="487"/>
      <c r="AA30" s="487"/>
      <c r="AB30" s="175">
        <f>+H30+J30+L30+N30+P30+R30+T30+V30+X30+Z30</f>
        <v>-71281191.51999998</v>
      </c>
      <c r="AC30" s="175">
        <f>+I30+K30+M30+O30+Q30+S30+U30+W30+Y30+AA30</f>
        <v>-43256719.359999895</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v>0</v>
      </c>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v>0</v>
      </c>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v>0</v>
      </c>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v>0</v>
      </c>
      <c r="I35" s="198">
        <f>SUM(I32:I34)</f>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f>+H30-H35</f>
        <v>-32562718</v>
      </c>
      <c r="I37" s="487">
        <f>+I30-I35</f>
        <v>-21247538.359999895</v>
      </c>
      <c r="J37" s="487">
        <f>+J30-J35</f>
        <v>-29693564.51999998</v>
      </c>
      <c r="K37" s="487">
        <f>+K30-K35</f>
        <v>-22009181</v>
      </c>
      <c r="L37" s="487">
        <f>+L30-L35</f>
        <v>-9024909</v>
      </c>
      <c r="M37" s="487"/>
      <c r="N37" s="487"/>
      <c r="O37" s="487"/>
      <c r="P37" s="487"/>
      <c r="Q37" s="487"/>
      <c r="R37" s="487"/>
      <c r="S37" s="487"/>
      <c r="T37" s="487"/>
      <c r="U37" s="487"/>
      <c r="V37" s="487"/>
      <c r="W37" s="487"/>
      <c r="X37" s="487"/>
      <c r="Y37" s="487"/>
      <c r="Z37" s="487"/>
      <c r="AA37" s="487"/>
      <c r="AB37" s="175">
        <f>+H37+J37+L37+N37+P37+R37+T37+V37+X37+Z37</f>
        <v>-71281191.51999998</v>
      </c>
      <c r="AC37" s="175">
        <f>+I37+K37+M37+O37+Q37+S37+U37+W37+Y37+AA37</f>
        <v>-43256719.359999895</v>
      </c>
      <c r="AD37" s="487" t="e">
        <f>+AD30-AD35</f>
        <v>#REF!</v>
      </c>
      <c r="AE37" s="192"/>
    </row>
    <row r="38" spans="2:30" ht="15.75">
      <c r="B38" s="260" t="s">
        <v>196</v>
      </c>
      <c r="C38" s="32" t="s">
        <v>380</v>
      </c>
      <c r="D38" s="249"/>
      <c r="E38" s="297"/>
      <c r="F38" s="216"/>
      <c r="G38" s="193"/>
      <c r="H38" s="193"/>
      <c r="I38" s="180">
        <v>0</v>
      </c>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v>0</v>
      </c>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v>0</v>
      </c>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f>+H37+H40</f>
        <v>-32562718</v>
      </c>
      <c r="I41" s="200">
        <f>+I37+I40</f>
        <v>-21247538.359999895</v>
      </c>
      <c r="J41" s="200">
        <f>+J37+J40</f>
        <v>-29693564.51999998</v>
      </c>
      <c r="K41" s="200">
        <f>+K37+K40</f>
        <v>-22009181</v>
      </c>
      <c r="L41" s="384">
        <f>+L37+L40</f>
        <v>-9024909</v>
      </c>
      <c r="M41" s="399"/>
      <c r="N41" s="399"/>
      <c r="O41" s="399"/>
      <c r="P41" s="399"/>
      <c r="Q41" s="399"/>
      <c r="R41" s="399"/>
      <c r="S41" s="399"/>
      <c r="T41" s="399"/>
      <c r="U41" s="399"/>
      <c r="V41" s="399"/>
      <c r="W41" s="399"/>
      <c r="X41" s="399"/>
      <c r="Y41" s="399"/>
      <c r="Z41" s="399"/>
      <c r="AA41" s="399"/>
      <c r="AB41" s="491">
        <f>+H41+J41+L41+N41+P41+R41+T41+V41+X41+Z41</f>
        <v>-71281191.51999998</v>
      </c>
      <c r="AC41" s="492">
        <f>+I41+K41+M41+O41+Q41+S41+U41+W41+Y41+AA41</f>
        <v>-43256719.359999895</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I3" sqref="I3:O3"/>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499" t="s">
        <v>319</v>
      </c>
      <c r="J5" s="499" t="s">
        <v>319</v>
      </c>
      <c r="K5" s="499" t="s">
        <v>319</v>
      </c>
      <c r="L5" s="499" t="s">
        <v>319</v>
      </c>
      <c r="M5" s="499" t="s">
        <v>319</v>
      </c>
      <c r="N5" s="497" t="s">
        <v>319</v>
      </c>
      <c r="O5" s="499" t="s">
        <v>319</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500" t="s">
        <v>322</v>
      </c>
      <c r="J6" s="500" t="s">
        <v>322</v>
      </c>
      <c r="K6" s="500" t="s">
        <v>322</v>
      </c>
      <c r="L6" s="500" t="s">
        <v>322</v>
      </c>
      <c r="M6" s="500" t="s">
        <v>322</v>
      </c>
      <c r="N6" s="498" t="s">
        <v>322</v>
      </c>
      <c r="O6" s="500" t="s">
        <v>322</v>
      </c>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97260004</v>
      </c>
      <c r="J10" s="434">
        <v>129822721.6400001</v>
      </c>
      <c r="K10" s="434">
        <v>151070260</v>
      </c>
      <c r="L10" s="434" t="e">
        <f>#REF!</f>
        <v>#REF!</v>
      </c>
      <c r="M10" s="434">
        <v>180763823</v>
      </c>
      <c r="N10" s="434" t="e">
        <f>#REF!</f>
        <v>#REF!</v>
      </c>
      <c r="O10" s="434">
        <v>202773005</v>
      </c>
      <c r="P10" s="434" t="e">
        <f>#REF!</f>
        <v>#REF!</v>
      </c>
      <c r="Q10" s="434"/>
      <c r="R10" s="434"/>
      <c r="S10" s="434"/>
      <c r="T10" s="434"/>
      <c r="U10" s="434"/>
      <c r="V10" s="434"/>
      <c r="W10" s="434"/>
      <c r="X10" s="434"/>
      <c r="Y10" s="434"/>
      <c r="Z10" s="434"/>
      <c r="AA10" s="434"/>
      <c r="AB10" s="434" t="e">
        <f>#REF!</f>
        <v>#REF!</v>
      </c>
      <c r="AC10" s="434">
        <f>I10+K10+M10+O10+Q10+S10+U10+Y10+AA10+W10+1</f>
        <v>631867093</v>
      </c>
      <c r="AD10" s="434" t="e">
        <f>J10+L10+N10+P10+R10+T10+V10+Z10+AB10+X10</f>
        <v>#REF!</v>
      </c>
      <c r="AE10" s="349" t="e">
        <f>#REF!</f>
        <v>#REF!</v>
      </c>
      <c r="AF10" s="185"/>
    </row>
    <row r="11" spans="2:32" ht="15.75">
      <c r="B11" s="291"/>
      <c r="C11" s="435"/>
      <c r="D11" s="296"/>
      <c r="E11" s="291"/>
      <c r="F11" s="291"/>
      <c r="G11" s="311" t="s">
        <v>389</v>
      </c>
      <c r="H11" s="347"/>
      <c r="I11" s="174">
        <v>97260004</v>
      </c>
      <c r="J11" s="174">
        <v>129822721.6400001</v>
      </c>
      <c r="K11" s="174">
        <f>SUM(K9:K10)</f>
        <v>151070260</v>
      </c>
      <c r="L11" s="174" t="e">
        <f>SUM(L9:L10)</f>
        <v>#REF!</v>
      </c>
      <c r="M11" s="174">
        <f>+M9+M10</f>
        <v>180763823</v>
      </c>
      <c r="N11" s="174" t="e">
        <f>+N9+N10</f>
        <v>#REF!</v>
      </c>
      <c r="O11" s="174">
        <f>SUM(O9:O10)</f>
        <v>202773005</v>
      </c>
      <c r="P11" s="436" t="e">
        <f>SUM(P9:P10)</f>
        <v>#REF!</v>
      </c>
      <c r="Q11" s="416"/>
      <c r="R11" s="416"/>
      <c r="S11" s="416"/>
      <c r="T11" s="416"/>
      <c r="U11" s="416"/>
      <c r="V11" s="416"/>
      <c r="W11" s="416"/>
      <c r="X11" s="416"/>
      <c r="Y11" s="416"/>
      <c r="Z11" s="416"/>
      <c r="AA11" s="416"/>
      <c r="AB11" s="437" t="e">
        <f>+AB9+AB10</f>
        <v>#REF!</v>
      </c>
      <c r="AC11" s="438">
        <f>I11+K11+M11+O11+Q11+S11+U11+Y11+AA11+W11+1</f>
        <v>631867093</v>
      </c>
      <c r="AD11" s="439" t="e">
        <f>J11+L11+N11+P11+R11+T11+V11+Z11+AB11+X11</f>
        <v>#REF!</v>
      </c>
      <c r="AE11" s="308" t="e">
        <f>+AE9+AE10</f>
        <v>#REF!</v>
      </c>
      <c r="AF11" s="186"/>
    </row>
    <row r="12" spans="2:31" ht="15.75" hidden="1">
      <c r="B12" s="291"/>
      <c r="C12" s="250">
        <v>-2</v>
      </c>
      <c r="D12" s="32" t="s">
        <v>247</v>
      </c>
      <c r="E12" s="32"/>
      <c r="F12" s="297"/>
      <c r="G12" s="316"/>
      <c r="H12" s="347"/>
      <c r="I12" s="347"/>
      <c r="J12" s="434">
        <v>0</v>
      </c>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v>0</v>
      </c>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v>0</v>
      </c>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c r="J17" s="434">
        <v>0</v>
      </c>
      <c r="K17" s="434"/>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0</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0</v>
      </c>
      <c r="J19" s="174">
        <v>0</v>
      </c>
      <c r="K19" s="174">
        <f>SUM(K15:K18)</f>
        <v>0</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0</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v>0</v>
      </c>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23001039</v>
      </c>
      <c r="J22" s="434">
        <v>17449254</v>
      </c>
      <c r="K22" s="434">
        <v>13847362</v>
      </c>
      <c r="L22" s="434" t="e">
        <f>#REF!</f>
        <v>#REF!</v>
      </c>
      <c r="M22" s="434">
        <v>21772791</v>
      </c>
      <c r="N22" s="434" t="e">
        <f>#REF!</f>
        <v>#REF!</v>
      </c>
      <c r="O22" s="434">
        <v>27894388</v>
      </c>
      <c r="P22" s="434" t="e">
        <f>#REF!</f>
        <v>#REF!</v>
      </c>
      <c r="Q22" s="434"/>
      <c r="R22" s="434"/>
      <c r="S22" s="434"/>
      <c r="T22" s="434"/>
      <c r="U22" s="434"/>
      <c r="V22" s="434"/>
      <c r="W22" s="434"/>
      <c r="X22" s="434"/>
      <c r="Y22" s="434"/>
      <c r="Z22" s="434"/>
      <c r="AA22" s="434"/>
      <c r="AB22" s="434" t="e">
        <f>#REF!</f>
        <v>#REF!</v>
      </c>
      <c r="AC22" s="434">
        <f aca="true" t="shared" si="1" ref="AC22:AD24">I22+K22+M22+O22+Q22+S22+U22+Y22+AA22+W22</f>
        <v>86515580</v>
      </c>
      <c r="AD22" s="434" t="e">
        <f t="shared" si="1"/>
        <v>#REF!</v>
      </c>
      <c r="AE22" s="349" t="e">
        <f>#REF!</f>
        <v>#REF!</v>
      </c>
    </row>
    <row r="23" spans="2:32" ht="15.75">
      <c r="B23" s="291"/>
      <c r="C23" s="297"/>
      <c r="D23" s="249" t="s">
        <v>243</v>
      </c>
      <c r="E23" s="297" t="s">
        <v>338</v>
      </c>
      <c r="F23" s="297"/>
      <c r="G23" s="442"/>
      <c r="H23" s="347" t="s">
        <v>168</v>
      </c>
      <c r="I23" s="347">
        <v>31848335</v>
      </c>
      <c r="J23" s="434">
        <v>15611008</v>
      </c>
      <c r="K23" s="434">
        <v>15456256</v>
      </c>
      <c r="L23" s="434" t="e">
        <f>#REF!</f>
        <v>#REF!</v>
      </c>
      <c r="M23" s="434">
        <f>30965114-M22</f>
        <v>9192323</v>
      </c>
      <c r="N23" s="434" t="e">
        <f>#REF!</f>
        <v>#REF!</v>
      </c>
      <c r="O23" s="434">
        <f>48155221-O22</f>
        <v>20260833</v>
      </c>
      <c r="P23" s="434" t="e">
        <f>#REF!</f>
        <v>#REF!</v>
      </c>
      <c r="Q23" s="434"/>
      <c r="R23" s="434"/>
      <c r="S23" s="434"/>
      <c r="T23" s="434"/>
      <c r="U23" s="434"/>
      <c r="V23" s="434"/>
      <c r="W23" s="434"/>
      <c r="X23" s="434"/>
      <c r="Y23" s="434"/>
      <c r="Z23" s="434"/>
      <c r="AA23" s="434"/>
      <c r="AB23" s="434" t="e">
        <f>#REF!</f>
        <v>#REF!</v>
      </c>
      <c r="AC23" s="434">
        <f t="shared" si="1"/>
        <v>76757747</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-27174612</v>
      </c>
      <c r="J25" s="434">
        <v>-56414291.370000035</v>
      </c>
      <c r="K25" s="434">
        <v>-91259909</v>
      </c>
      <c r="L25" s="434">
        <v>-56414291.370000035</v>
      </c>
      <c r="M25" s="434">
        <v>-118071015</v>
      </c>
      <c r="N25" s="434">
        <v>-937002649.94</v>
      </c>
      <c r="O25" s="434">
        <v>-149247790</v>
      </c>
      <c r="P25" s="434">
        <v>-196312660.29999998</v>
      </c>
      <c r="Q25" s="434"/>
      <c r="R25" s="434"/>
      <c r="S25" s="434"/>
      <c r="T25" s="434"/>
      <c r="U25" s="434"/>
      <c r="V25" s="434"/>
      <c r="W25" s="434"/>
      <c r="X25" s="434"/>
      <c r="Y25" s="434"/>
      <c r="Z25" s="434"/>
      <c r="AA25" s="434"/>
      <c r="AB25" s="434">
        <f>5274209230-5200000</f>
        <v>5269009230</v>
      </c>
      <c r="AC25" s="434">
        <f>I25+K25+M25+O25+Q25+S25+U25+Y25+AA25+W25+1</f>
        <v>-385753325</v>
      </c>
      <c r="AD25" s="434">
        <f>J25+L25+N25+P25+R25+T25+V25+Z25+AB25+X25</f>
        <v>4022865337.02</v>
      </c>
      <c r="AE25" s="349">
        <v>0.25999951362609863</v>
      </c>
    </row>
    <row r="26" spans="2:32" ht="16.5" thickBot="1">
      <c r="B26" s="291"/>
      <c r="C26" s="296"/>
      <c r="D26" s="291"/>
      <c r="E26" s="291"/>
      <c r="F26" s="291"/>
      <c r="G26" s="311" t="s">
        <v>391</v>
      </c>
      <c r="H26" s="347"/>
      <c r="I26" s="446">
        <v>27674762</v>
      </c>
      <c r="J26" s="446">
        <v>-23354029.370000035</v>
      </c>
      <c r="K26" s="446">
        <f>SUM(K21:K25)</f>
        <v>-61956291</v>
      </c>
      <c r="L26" s="446" t="e">
        <f>SUM(L21:L25)</f>
        <v>#REF!</v>
      </c>
      <c r="M26" s="446">
        <f>SUM(M21:M25)</f>
        <v>-87105901</v>
      </c>
      <c r="N26" s="446" t="e">
        <f>SUM(N21:N25)</f>
        <v>#REF!</v>
      </c>
      <c r="O26" s="446">
        <f>SUM(O22:O25)</f>
        <v>-101092569</v>
      </c>
      <c r="P26" s="447" t="e">
        <f>SUM(P22:P25)</f>
        <v>#REF!</v>
      </c>
      <c r="Q26" s="416"/>
      <c r="R26" s="416"/>
      <c r="S26" s="416"/>
      <c r="T26" s="416"/>
      <c r="U26" s="416"/>
      <c r="V26" s="416"/>
      <c r="W26" s="416"/>
      <c r="X26" s="416"/>
      <c r="Y26" s="416"/>
      <c r="Z26" s="416"/>
      <c r="AA26" s="416"/>
      <c r="AB26" s="448" t="e">
        <f>SUM(AB21:AB25)</f>
        <v>#REF!</v>
      </c>
      <c r="AC26" s="449">
        <f>I26+K26+M26+O26+Q26+S26+U26+Y26+AA26+W26+1</f>
        <v>-222479998</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124934766</v>
      </c>
      <c r="J29" s="334">
        <v>106468692.27000007</v>
      </c>
      <c r="K29" s="334">
        <f aca="true" t="shared" si="2" ref="K29:P29">K28+K26+K19+K11</f>
        <v>89113969</v>
      </c>
      <c r="L29" s="334" t="e">
        <f t="shared" si="2"/>
        <v>#REF!</v>
      </c>
      <c r="M29" s="334">
        <f t="shared" si="2"/>
        <v>93657922</v>
      </c>
      <c r="N29" s="334" t="e">
        <f t="shared" si="2"/>
        <v>#REF!</v>
      </c>
      <c r="O29" s="334">
        <f t="shared" si="2"/>
        <v>101680436</v>
      </c>
      <c r="P29" s="401" t="e">
        <f t="shared" si="2"/>
        <v>#REF!</v>
      </c>
      <c r="Q29" s="416"/>
      <c r="R29" s="416"/>
      <c r="S29" s="416"/>
      <c r="T29" s="416"/>
      <c r="U29" s="416"/>
      <c r="V29" s="416"/>
      <c r="W29" s="416"/>
      <c r="X29" s="416"/>
      <c r="Y29" s="416"/>
      <c r="Z29" s="416"/>
      <c r="AA29" s="416"/>
      <c r="AB29" s="407" t="e">
        <f>AB28+AB26+AB19+AB11</f>
        <v>#REF!</v>
      </c>
      <c r="AC29" s="245">
        <f>AC11+AC19+AC26+AC28</f>
        <v>409387095</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4286613</v>
      </c>
      <c r="J33" s="434">
        <v>1927719.1500000001</v>
      </c>
      <c r="K33" s="434">
        <v>1941645.53</v>
      </c>
      <c r="L33" s="434">
        <v>1927719.1500000001</v>
      </c>
      <c r="M33" s="434">
        <v>2149453</v>
      </c>
      <c r="N33" s="434">
        <v>9484163.41</v>
      </c>
      <c r="O33" s="434">
        <v>2222531</v>
      </c>
      <c r="P33" s="434">
        <v>34728931.88999999</v>
      </c>
      <c r="Q33" s="434"/>
      <c r="R33" s="434"/>
      <c r="S33" s="434"/>
      <c r="T33" s="434"/>
      <c r="U33" s="434"/>
      <c r="V33" s="434"/>
      <c r="W33" s="434"/>
      <c r="X33" s="434"/>
      <c r="Y33" s="434"/>
      <c r="Z33" s="443"/>
      <c r="AA33" s="443"/>
      <c r="AB33" s="434">
        <v>5470799.6</v>
      </c>
      <c r="AC33" s="434">
        <f>I33+K33+M33+O33+Q33+S33+U33+Y33+AA33+W33-1</f>
        <v>10600241.530000001</v>
      </c>
      <c r="AD33" s="434">
        <f>J33+L33+N33+P33+R33+T33+V33+Z33+AB33+X33</f>
        <v>53539333.199999996</v>
      </c>
      <c r="AE33" s="349">
        <v>335773865.227</v>
      </c>
    </row>
    <row r="34" spans="2:31" ht="15.75">
      <c r="B34" s="291"/>
      <c r="C34" s="336"/>
      <c r="D34" s="297"/>
      <c r="E34" s="249" t="s">
        <v>265</v>
      </c>
      <c r="F34" s="338" t="s">
        <v>204</v>
      </c>
      <c r="G34" s="442"/>
      <c r="H34" s="347" t="s">
        <v>171</v>
      </c>
      <c r="I34" s="347"/>
      <c r="J34" s="434">
        <v>0</v>
      </c>
      <c r="K34" s="434"/>
      <c r="L34" s="434">
        <v>0</v>
      </c>
      <c r="M34" s="434"/>
      <c r="N34" s="434"/>
      <c r="O34" s="434"/>
      <c r="P34" s="434">
        <v>10917555</v>
      </c>
      <c r="Q34" s="434"/>
      <c r="R34" s="434"/>
      <c r="S34" s="434"/>
      <c r="T34" s="434"/>
      <c r="U34" s="434"/>
      <c r="V34" s="434"/>
      <c r="W34" s="434"/>
      <c r="X34" s="434"/>
      <c r="Y34" s="434"/>
      <c r="Z34" s="434"/>
      <c r="AA34" s="434"/>
      <c r="AB34" s="434">
        <v>184835</v>
      </c>
      <c r="AC34" s="434">
        <f>I34+K34+M34+O34+Q34+S34+U34+Y34+AA34+W34</f>
        <v>0</v>
      </c>
      <c r="AD34" s="434">
        <f>J34+L34+N34+P34+R34+T34+V34+Z34+AB34+X34</f>
        <v>11102390</v>
      </c>
      <c r="AE34" s="349">
        <v>21713372</v>
      </c>
    </row>
    <row r="35" spans="2:31" ht="15.75" customHeight="1">
      <c r="B35" s="291"/>
      <c r="C35" s="336"/>
      <c r="D35" s="297"/>
      <c r="E35" s="249" t="s">
        <v>269</v>
      </c>
      <c r="F35" s="338" t="s">
        <v>345</v>
      </c>
      <c r="G35" s="442"/>
      <c r="H35" s="347"/>
      <c r="I35" s="347"/>
      <c r="J35" s="434">
        <v>0</v>
      </c>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v>0</v>
      </c>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v>0</v>
      </c>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c r="J38" s="434">
        <v>0</v>
      </c>
      <c r="K38" s="434"/>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0</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4286613</v>
      </c>
      <c r="J41" s="174">
        <v>1927719.15</v>
      </c>
      <c r="K41" s="174">
        <f aca="true" t="shared" si="3" ref="K41:P41">SUM(K33:K40)</f>
        <v>1941645.53</v>
      </c>
      <c r="L41" s="174" t="e">
        <f t="shared" si="3"/>
        <v>#REF!</v>
      </c>
      <c r="M41" s="174">
        <f t="shared" si="3"/>
        <v>2149453</v>
      </c>
      <c r="N41" s="174" t="e">
        <f t="shared" si="3"/>
        <v>#REF!</v>
      </c>
      <c r="O41" s="174">
        <f t="shared" si="3"/>
        <v>2222531</v>
      </c>
      <c r="P41" s="436" t="e">
        <f t="shared" si="3"/>
        <v>#REF!</v>
      </c>
      <c r="Q41" s="416"/>
      <c r="R41" s="416"/>
      <c r="S41" s="416"/>
      <c r="T41" s="416"/>
      <c r="U41" s="416"/>
      <c r="V41" s="416"/>
      <c r="W41" s="416"/>
      <c r="X41" s="416"/>
      <c r="Y41" s="416"/>
      <c r="Z41" s="416"/>
      <c r="AA41" s="416"/>
      <c r="AB41" s="308" t="e">
        <f>SUM(AB33:AB40)</f>
        <v>#REF!</v>
      </c>
      <c r="AC41" s="444">
        <f>I41+K41+M41+O41+Q41+S41+U41+Y41+AA41+W41-1</f>
        <v>10600241.530000001</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v>0</v>
      </c>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v>42774986</v>
      </c>
      <c r="J44" s="434">
        <v>25467215</v>
      </c>
      <c r="K44" s="434">
        <v>25361693</v>
      </c>
      <c r="L44" s="434" t="e">
        <f>#REF!</f>
        <v>#REF!</v>
      </c>
      <c r="M44" s="434">
        <v>24411958</v>
      </c>
      <c r="N44" s="434" t="e">
        <f>#REF!</f>
        <v>#REF!</v>
      </c>
      <c r="O44" s="434">
        <v>20664950</v>
      </c>
      <c r="P44" s="434">
        <v>0</v>
      </c>
      <c r="Q44" s="434"/>
      <c r="R44" s="434"/>
      <c r="S44" s="434"/>
      <c r="T44" s="434"/>
      <c r="U44" s="434"/>
      <c r="V44" s="434"/>
      <c r="W44" s="434"/>
      <c r="X44" s="434"/>
      <c r="Y44" s="434"/>
      <c r="Z44" s="434"/>
      <c r="AA44" s="434"/>
      <c r="AB44" s="434">
        <v>0</v>
      </c>
      <c r="AC44" s="434">
        <f aca="true" t="shared" si="4" ref="AC44:AD48">I44+K44+M44+O44+Q44+S44+U44+Y44+AA44+W44</f>
        <v>113213587</v>
      </c>
      <c r="AD44" s="434" t="e">
        <f t="shared" si="4"/>
        <v>#REF!</v>
      </c>
      <c r="AE44" s="349" t="e">
        <f>#REF!</f>
        <v>#REF!</v>
      </c>
    </row>
    <row r="45" spans="2:31" ht="15.75">
      <c r="B45" s="291"/>
      <c r="C45" s="297"/>
      <c r="D45" s="249" t="s">
        <v>242</v>
      </c>
      <c r="E45" s="297" t="s">
        <v>352</v>
      </c>
      <c r="F45" s="297"/>
      <c r="G45" s="442"/>
      <c r="H45" s="347" t="s">
        <v>175</v>
      </c>
      <c r="I45" s="347"/>
      <c r="J45" s="434">
        <v>0</v>
      </c>
      <c r="K45" s="434"/>
      <c r="L45" s="434">
        <v>0</v>
      </c>
      <c r="M45" s="434"/>
      <c r="N45" s="434">
        <v>0</v>
      </c>
      <c r="O45" s="434">
        <v>0</v>
      </c>
      <c r="P45" s="434" t="e">
        <f>#REF!</f>
        <v>#REF!</v>
      </c>
      <c r="Q45" s="434"/>
      <c r="R45" s="434"/>
      <c r="S45" s="434"/>
      <c r="T45" s="434"/>
      <c r="U45" s="434"/>
      <c r="V45" s="434"/>
      <c r="W45" s="434"/>
      <c r="X45" s="434"/>
      <c r="Y45" s="434"/>
      <c r="Z45" s="434"/>
      <c r="AA45" s="434"/>
      <c r="AB45" s="434" t="e">
        <f>#REF!</f>
        <v>#REF!</v>
      </c>
      <c r="AC45" s="434">
        <f t="shared" si="4"/>
        <v>0</v>
      </c>
      <c r="AD45" s="434" t="e">
        <f t="shared" si="4"/>
        <v>#REF!</v>
      </c>
      <c r="AE45" s="349" t="e">
        <f>#REF!</f>
        <v>#REF!</v>
      </c>
    </row>
    <row r="46" spans="2:31" ht="15.75">
      <c r="B46" s="291"/>
      <c r="C46" s="297"/>
      <c r="D46" s="249" t="s">
        <v>243</v>
      </c>
      <c r="E46" s="297" t="s">
        <v>353</v>
      </c>
      <c r="F46" s="297"/>
      <c r="G46" s="442"/>
      <c r="H46" s="347" t="s">
        <v>176</v>
      </c>
      <c r="I46" s="347">
        <v>65876137</v>
      </c>
      <c r="J46" s="434">
        <v>19019362.48</v>
      </c>
      <c r="K46" s="434">
        <f>27449724.44-158360</f>
        <v>27291364.44</v>
      </c>
      <c r="L46" s="434" t="e">
        <f>#REF!</f>
        <v>#REF!</v>
      </c>
      <c r="M46" s="434">
        <v>51949003</v>
      </c>
      <c r="N46" s="434" t="e">
        <f>#REF!</f>
        <v>#REF!</v>
      </c>
      <c r="O46" s="434">
        <v>52247042</v>
      </c>
      <c r="P46" s="434" t="e">
        <f>#REF!</f>
        <v>#REF!</v>
      </c>
      <c r="Q46" s="434"/>
      <c r="R46" s="434"/>
      <c r="S46" s="434"/>
      <c r="T46" s="434"/>
      <c r="U46" s="434"/>
      <c r="V46" s="434"/>
      <c r="W46" s="434"/>
      <c r="X46" s="434"/>
      <c r="Y46" s="434"/>
      <c r="Z46" s="434"/>
      <c r="AA46" s="434"/>
      <c r="AB46" s="434" t="e">
        <f>#REF!</f>
        <v>#REF!</v>
      </c>
      <c r="AC46" s="434">
        <f t="shared" si="4"/>
        <v>197363546.44</v>
      </c>
      <c r="AD46" s="434" t="e">
        <f t="shared" si="4"/>
        <v>#REF!</v>
      </c>
      <c r="AE46" s="349" t="e">
        <f>#REF!</f>
        <v>#REF!</v>
      </c>
    </row>
    <row r="47" spans="2:31" ht="15.75">
      <c r="B47" s="291"/>
      <c r="C47" s="297"/>
      <c r="D47" s="249" t="s">
        <v>252</v>
      </c>
      <c r="E47" s="297" t="s">
        <v>354</v>
      </c>
      <c r="F47" s="297"/>
      <c r="G47" s="442"/>
      <c r="H47" s="347" t="s">
        <v>177</v>
      </c>
      <c r="I47" s="347">
        <v>11997030</v>
      </c>
      <c r="J47" s="434">
        <v>60054395</v>
      </c>
      <c r="K47" s="434">
        <f>28927733+5591533</f>
        <v>34519266</v>
      </c>
      <c r="L47" s="434" t="e">
        <f>#REF!</f>
        <v>#REF!</v>
      </c>
      <c r="M47" s="434">
        <v>15147508</v>
      </c>
      <c r="N47" s="434" t="e">
        <f>#REF!</f>
        <v>#REF!</v>
      </c>
      <c r="O47" s="434">
        <v>26545913</v>
      </c>
      <c r="P47" s="434" t="e">
        <f>#REF!</f>
        <v>#REF!</v>
      </c>
      <c r="Q47" s="434"/>
      <c r="R47" s="434"/>
      <c r="S47" s="434"/>
      <c r="T47" s="434"/>
      <c r="U47" s="434"/>
      <c r="V47" s="434"/>
      <c r="W47" s="434"/>
      <c r="X47" s="434"/>
      <c r="Y47" s="434"/>
      <c r="Z47" s="434"/>
      <c r="AA47" s="434"/>
      <c r="AB47" s="434" t="e">
        <f>#REF!</f>
        <v>#REF!</v>
      </c>
      <c r="AC47" s="434">
        <f t="shared" si="4"/>
        <v>88209717</v>
      </c>
      <c r="AD47" s="434" t="e">
        <f t="shared" si="4"/>
        <v>#REF!</v>
      </c>
      <c r="AE47" s="349" t="e">
        <f>#REF!</f>
        <v>#REF!</v>
      </c>
    </row>
    <row r="48" spans="2:31" ht="15.75">
      <c r="B48" s="291"/>
      <c r="C48" s="296"/>
      <c r="D48" s="249" t="s">
        <v>274</v>
      </c>
      <c r="E48" s="297" t="s">
        <v>355</v>
      </c>
      <c r="F48" s="297"/>
      <c r="G48" s="442"/>
      <c r="H48" s="347" t="s">
        <v>178</v>
      </c>
      <c r="I48" s="347">
        <v>0</v>
      </c>
      <c r="J48" s="434">
        <v>0</v>
      </c>
      <c r="K48" s="434">
        <v>0</v>
      </c>
      <c r="L48" s="434">
        <v>0</v>
      </c>
      <c r="M48" s="434">
        <v>0</v>
      </c>
      <c r="N48" s="434" t="e">
        <f>#REF!</f>
        <v>#REF!</v>
      </c>
      <c r="O48" s="434">
        <v>0</v>
      </c>
      <c r="P48" s="434" t="e">
        <f>#REF!</f>
        <v>#REF!</v>
      </c>
      <c r="Q48" s="434"/>
      <c r="R48" s="434"/>
      <c r="S48" s="434"/>
      <c r="T48" s="434"/>
      <c r="U48" s="434"/>
      <c r="V48" s="434"/>
      <c r="W48" s="434"/>
      <c r="X48" s="434"/>
      <c r="Y48" s="434"/>
      <c r="Z48" s="434"/>
      <c r="AA48" s="434"/>
      <c r="AB48" s="434">
        <v>0</v>
      </c>
      <c r="AC48" s="434">
        <f t="shared" si="4"/>
        <v>0</v>
      </c>
      <c r="AD48" s="460" t="e">
        <f t="shared" si="4"/>
        <v>#REF!</v>
      </c>
      <c r="AE48" s="349" t="e">
        <f>#REF!</f>
        <v>#REF!</v>
      </c>
    </row>
    <row r="49" spans="2:32" ht="15.75">
      <c r="B49" s="291"/>
      <c r="C49" s="296"/>
      <c r="D49" s="291"/>
      <c r="E49" s="291"/>
      <c r="F49" s="291"/>
      <c r="G49" s="311" t="s">
        <v>393</v>
      </c>
      <c r="H49" s="347"/>
      <c r="I49" s="174">
        <v>120648153</v>
      </c>
      <c r="J49" s="174">
        <v>104540972.48</v>
      </c>
      <c r="K49" s="174">
        <f aca="true" t="shared" si="5" ref="K49:P49">SUM(K43:K48)</f>
        <v>87172323.44</v>
      </c>
      <c r="L49" s="174" t="e">
        <f t="shared" si="5"/>
        <v>#REF!</v>
      </c>
      <c r="M49" s="174">
        <f t="shared" si="5"/>
        <v>91508469</v>
      </c>
      <c r="N49" s="174" t="e">
        <f t="shared" si="5"/>
        <v>#REF!</v>
      </c>
      <c r="O49" s="174">
        <f t="shared" si="5"/>
        <v>99457905</v>
      </c>
      <c r="P49" s="436" t="e">
        <f t="shared" si="5"/>
        <v>#REF!</v>
      </c>
      <c r="Q49" s="416"/>
      <c r="R49" s="416"/>
      <c r="S49" s="416"/>
      <c r="T49" s="416"/>
      <c r="U49" s="416"/>
      <c r="V49" s="416"/>
      <c r="W49" s="416"/>
      <c r="X49" s="416"/>
      <c r="Y49" s="416"/>
      <c r="Z49" s="416"/>
      <c r="AA49" s="416"/>
      <c r="AB49" s="437" t="e">
        <f>SUM(AB43:AB48)</f>
        <v>#REF!</v>
      </c>
      <c r="AC49" s="438">
        <f>I49+K49+M49+O49+Q49+S49+U49+Y49+AA49+W49+1</f>
        <v>398786851.44</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124934766</v>
      </c>
      <c r="J51" s="334">
        <v>106468691.63000001</v>
      </c>
      <c r="K51" s="334">
        <f aca="true" t="shared" si="6" ref="K51:P51">+K41+K49</f>
        <v>89113968.97</v>
      </c>
      <c r="L51" s="334" t="e">
        <f t="shared" si="6"/>
        <v>#REF!</v>
      </c>
      <c r="M51" s="334">
        <f t="shared" si="6"/>
        <v>93657922</v>
      </c>
      <c r="N51" s="334" t="e">
        <f t="shared" si="6"/>
        <v>#REF!</v>
      </c>
      <c r="O51" s="334">
        <f t="shared" si="6"/>
        <v>101680436</v>
      </c>
      <c r="P51" s="401" t="e">
        <f t="shared" si="6"/>
        <v>#REF!</v>
      </c>
      <c r="Q51" s="416"/>
      <c r="R51" s="416"/>
      <c r="S51" s="416"/>
      <c r="T51" s="416"/>
      <c r="U51" s="416"/>
      <c r="V51" s="416"/>
      <c r="W51" s="416"/>
      <c r="X51" s="416"/>
      <c r="Y51" s="416"/>
      <c r="Z51" s="416"/>
      <c r="AA51" s="416"/>
      <c r="AB51" s="407" t="e">
        <f>+AB41+AB49</f>
        <v>#REF!</v>
      </c>
      <c r="AC51" s="245">
        <f>I51+K51+M51+O51+Q51+S51+U51+Y51+AA51+W51</f>
        <v>409387092.97</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v>
      </c>
      <c r="J53" s="350">
        <f aca="true" t="shared" si="7" ref="J53:P53">J51-J29</f>
        <v>-0.6400000602006912</v>
      </c>
      <c r="K53" s="350">
        <f t="shared" si="7"/>
        <v>-0.030000001192092896</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-2.0299999713897705</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4">
    <mergeCell ref="P5:P6"/>
    <mergeCell ref="E58:L58"/>
    <mergeCell ref="B55:G56"/>
    <mergeCell ref="H55:H56"/>
  </mergeCells>
  <printOptions horizontalCentered="1"/>
  <pageMargins left="0.75" right="0.33" top="0.64" bottom="0.41" header="0.25" footer="0.15"/>
  <pageSetup fitToHeight="1" fitToWidth="1" horizontalDpi="300" verticalDpi="300" orientation="landscape" paperSize="5" scale="67"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L6" sqref="L6"/>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3.851562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3" t="s">
        <v>320</v>
      </c>
      <c r="I6" s="513" t="s">
        <v>320</v>
      </c>
      <c r="J6" s="513" t="s">
        <v>320</v>
      </c>
      <c r="K6" s="513" t="s">
        <v>320</v>
      </c>
      <c r="L6" s="513" t="s">
        <v>320</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513"/>
      <c r="I7" s="513"/>
      <c r="J7" s="513"/>
      <c r="K7" s="467"/>
      <c r="L7" s="467"/>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8214113821</v>
      </c>
      <c r="I9" s="175">
        <v>7290723583</v>
      </c>
      <c r="J9" s="175">
        <v>6481027350</v>
      </c>
      <c r="K9" s="175">
        <v>5414399281</v>
      </c>
      <c r="L9" s="175">
        <v>4454718001</v>
      </c>
      <c r="M9" s="175"/>
      <c r="N9" s="175"/>
      <c r="O9" s="175"/>
      <c r="P9" s="175"/>
      <c r="Q9" s="175"/>
      <c r="R9" s="175"/>
      <c r="S9" s="175"/>
      <c r="T9" s="175"/>
      <c r="U9" s="175"/>
      <c r="V9" s="175"/>
      <c r="W9" s="175"/>
      <c r="X9" s="175"/>
      <c r="Y9" s="175"/>
      <c r="Z9" s="175"/>
      <c r="AA9" s="175"/>
      <c r="AB9" s="175">
        <f>+H9+J9+L9+N9+P9+R9+T9+V9+X9+Z9</f>
        <v>19149859172</v>
      </c>
      <c r="AC9" s="175">
        <f>+I9+K9+M9+O9+Q9+S9+U9+W9+Y9+AA9</f>
        <v>12705122864</v>
      </c>
      <c r="AD9" s="191" t="e">
        <f>#REF!</f>
        <v>#REF!</v>
      </c>
      <c r="AE9" s="192"/>
    </row>
    <row r="10" spans="2:31" ht="15.75">
      <c r="B10" s="260" t="s">
        <v>259</v>
      </c>
      <c r="C10" s="32" t="s">
        <v>357</v>
      </c>
      <c r="D10" s="260"/>
      <c r="E10" s="32"/>
      <c r="F10" s="368"/>
      <c r="G10" s="193" t="s">
        <v>180</v>
      </c>
      <c r="H10" s="193">
        <v>22322117.04</v>
      </c>
      <c r="I10" s="175">
        <v>23535911</v>
      </c>
      <c r="J10" s="175">
        <v>17682285.83</v>
      </c>
      <c r="K10" s="175">
        <v>15352746</v>
      </c>
      <c r="L10" s="175">
        <v>13360309</v>
      </c>
      <c r="M10" s="175"/>
      <c r="N10" s="175"/>
      <c r="O10" s="175"/>
      <c r="P10" s="175"/>
      <c r="Q10" s="175"/>
      <c r="R10" s="175"/>
      <c r="S10" s="175"/>
      <c r="T10" s="175"/>
      <c r="U10" s="175"/>
      <c r="V10" s="175"/>
      <c r="W10" s="175"/>
      <c r="X10" s="175"/>
      <c r="Y10" s="175"/>
      <c r="Z10" s="175"/>
      <c r="AA10" s="175"/>
      <c r="AB10" s="175">
        <f>+H10+J10+L10+N10+P10+R10+T10+V10+X10+Z10</f>
        <v>53364711.87</v>
      </c>
      <c r="AC10" s="175">
        <f>+I10+K10+M10+O10+Q10+S10+U10+W10+Y10+AA10</f>
        <v>38888657</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8236435938.04</v>
      </c>
      <c r="I12" s="475">
        <v>7314259494</v>
      </c>
      <c r="J12" s="475">
        <f>SUM(J9:J11)</f>
        <v>6498709635.83</v>
      </c>
      <c r="K12" s="475">
        <f>SUM(K9:K11)</f>
        <v>5429752027</v>
      </c>
      <c r="L12" s="476">
        <f>SUM(L9:L11)</f>
        <v>4468078310</v>
      </c>
      <c r="M12" s="477"/>
      <c r="N12" s="477"/>
      <c r="O12" s="477"/>
      <c r="P12" s="477"/>
      <c r="Q12" s="477"/>
      <c r="R12" s="477"/>
      <c r="S12" s="477"/>
      <c r="T12" s="477"/>
      <c r="U12" s="477"/>
      <c r="V12" s="477"/>
      <c r="W12" s="477"/>
      <c r="X12" s="477"/>
      <c r="Y12" s="477"/>
      <c r="Z12" s="477"/>
      <c r="AA12" s="477"/>
      <c r="AB12" s="478">
        <f>+H12+J12+L12+N12+P12+R12+T12+V12+X12+Z12</f>
        <v>19203223883.87</v>
      </c>
      <c r="AC12" s="479">
        <f>+I12+K12+M12+O12+Q12+S12+U12+W12+Y12+AA12</f>
        <v>12744011521</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0</v>
      </c>
      <c r="AC14" s="175">
        <f>I14+K14+M14+O14+Q14+S14+U14+Y14+AA14</f>
        <v>0</v>
      </c>
      <c r="AD14" s="191" t="e">
        <f>#REF!</f>
        <v>#REF!</v>
      </c>
      <c r="AF14" s="192"/>
    </row>
    <row r="15" spans="2:32" ht="15.75">
      <c r="B15" s="32"/>
      <c r="C15" s="249" t="s">
        <v>242</v>
      </c>
      <c r="D15" s="297" t="s">
        <v>361</v>
      </c>
      <c r="E15" s="297"/>
      <c r="F15" s="216"/>
      <c r="G15" s="193" t="s">
        <v>232</v>
      </c>
      <c r="H15" s="193">
        <v>7925840440.8</v>
      </c>
      <c r="I15" s="175">
        <v>7056500527</v>
      </c>
      <c r="J15" s="175">
        <v>6193914282.46</v>
      </c>
      <c r="K15" s="175">
        <v>5205517526</v>
      </c>
      <c r="L15" s="175">
        <v>4261189882</v>
      </c>
      <c r="M15" s="175"/>
      <c r="N15" s="175"/>
      <c r="O15" s="175"/>
      <c r="P15" s="175"/>
      <c r="Q15" s="175"/>
      <c r="R15" s="175"/>
      <c r="S15" s="175"/>
      <c r="T15" s="175"/>
      <c r="U15" s="175"/>
      <c r="V15" s="175"/>
      <c r="W15" s="175"/>
      <c r="X15" s="175"/>
      <c r="Y15" s="175"/>
      <c r="Z15" s="175"/>
      <c r="AA15" s="175"/>
      <c r="AB15" s="175">
        <f>+H15+J15+L15+N15+P15+R15+T15+V15+X15+Z15</f>
        <v>18380944605.260002</v>
      </c>
      <c r="AC15" s="175">
        <f>I15+K15+M15+O15+Q15+S15+U15+Y15+AA15+W15</f>
        <v>12262018053</v>
      </c>
      <c r="AD15" s="191">
        <v>7993970783.59</v>
      </c>
      <c r="AF15" s="192"/>
    </row>
    <row r="16" spans="2:32" ht="15.75" customHeight="1">
      <c r="B16" s="32"/>
      <c r="C16" s="249" t="s">
        <v>243</v>
      </c>
      <c r="D16" s="555" t="s">
        <v>374</v>
      </c>
      <c r="E16" s="555"/>
      <c r="F16" s="555"/>
      <c r="G16" s="550" t="s">
        <v>233</v>
      </c>
      <c r="H16" s="550">
        <v>-91586525</v>
      </c>
      <c r="I16" s="551">
        <v>-111404234</v>
      </c>
      <c r="J16" s="551">
        <v>2227732</v>
      </c>
      <c r="K16" s="551">
        <f>166759602-190135550</f>
        <v>-23375948</v>
      </c>
      <c r="L16" s="551">
        <f>169708295-166759602</f>
        <v>2948693</v>
      </c>
      <c r="M16" s="551"/>
      <c r="N16" s="551"/>
      <c r="O16" s="551"/>
      <c r="P16" s="551"/>
      <c r="Q16" s="551"/>
      <c r="R16" s="551"/>
      <c r="S16" s="551"/>
      <c r="T16" s="551"/>
      <c r="U16" s="551"/>
      <c r="V16" s="551"/>
      <c r="W16" s="551"/>
      <c r="X16" s="551"/>
      <c r="Y16" s="551"/>
      <c r="Z16" s="551"/>
      <c r="AA16" s="551"/>
      <c r="AB16" s="175">
        <f>+J16+L16+T16+V16</f>
        <v>5176425</v>
      </c>
      <c r="AC16" s="551">
        <f>+K16+M16+U16+W16</f>
        <v>-23375948</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192192352</v>
      </c>
      <c r="I18" s="175">
        <v>149618317</v>
      </c>
      <c r="J18" s="175">
        <v>135883961.74</v>
      </c>
      <c r="K18" s="175">
        <v>117362006</v>
      </c>
      <c r="L18" s="175">
        <v>97496761</v>
      </c>
      <c r="M18" s="175"/>
      <c r="N18" s="175"/>
      <c r="O18" s="175"/>
      <c r="P18" s="175"/>
      <c r="Q18" s="175"/>
      <c r="R18" s="175"/>
      <c r="S18" s="175"/>
      <c r="T18" s="175"/>
      <c r="U18" s="175"/>
      <c r="V18" s="175"/>
      <c r="W18" s="175"/>
      <c r="X18" s="175"/>
      <c r="Y18" s="175"/>
      <c r="Z18" s="175"/>
      <c r="AA18" s="175"/>
      <c r="AB18" s="175">
        <f>+H18+J18+L18+N18+P18+R18+T18+V18+X18+Z18</f>
        <v>425573074.74</v>
      </c>
      <c r="AC18" s="175">
        <f>+I18+K18+M18+O18+Q18+S18+U18+W18+Y18+AA18</f>
        <v>266980323</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949285</v>
      </c>
      <c r="I20" s="175">
        <v>729021.8200000001</v>
      </c>
      <c r="J20" s="175">
        <v>753798.07</v>
      </c>
      <c r="K20" s="175">
        <v>807876</v>
      </c>
      <c r="L20" s="175">
        <v>898165</v>
      </c>
      <c r="M20" s="175"/>
      <c r="N20" s="175"/>
      <c r="O20" s="175"/>
      <c r="P20" s="175"/>
      <c r="Q20" s="175"/>
      <c r="R20" s="175"/>
      <c r="S20" s="175"/>
      <c r="T20" s="175"/>
      <c r="U20" s="175"/>
      <c r="V20" s="175"/>
      <c r="W20" s="175"/>
      <c r="X20" s="175"/>
      <c r="Y20" s="175"/>
      <c r="Z20" s="175"/>
      <c r="AA20" s="175"/>
      <c r="AB20" s="175">
        <f>+H20+J20+L20+N20+P20+R20+T20+V20+X20+Z20</f>
        <v>2601248.07</v>
      </c>
      <c r="AC20" s="175">
        <f>+I20+K20+M20+O20+Q20+S20+U20+W20+Y20+AA20</f>
        <v>1536897.82</v>
      </c>
      <c r="AD20" s="191">
        <v>15784125.999999998</v>
      </c>
      <c r="AF20" s="192"/>
    </row>
    <row r="21" spans="2:32" ht="15.75">
      <c r="B21" s="176"/>
      <c r="C21" s="249" t="s">
        <v>287</v>
      </c>
      <c r="D21" s="297" t="s">
        <v>365</v>
      </c>
      <c r="F21" s="216"/>
      <c r="G21" s="193" t="s">
        <v>235</v>
      </c>
      <c r="H21" s="193">
        <v>133651240</v>
      </c>
      <c r="I21" s="175">
        <v>109163725</v>
      </c>
      <c r="J21" s="175">
        <v>90527387</v>
      </c>
      <c r="K21" s="175">
        <f>81708675+30000+94464</f>
        <v>81833139</v>
      </c>
      <c r="L21" s="175">
        <v>63565957</v>
      </c>
      <c r="M21" s="175"/>
      <c r="N21" s="175"/>
      <c r="O21" s="175"/>
      <c r="P21" s="175"/>
      <c r="Q21" s="175"/>
      <c r="R21" s="175"/>
      <c r="S21" s="175"/>
      <c r="T21" s="175"/>
      <c r="U21" s="175"/>
      <c r="V21" s="175"/>
      <c r="W21" s="175"/>
      <c r="X21" s="175"/>
      <c r="Y21" s="175"/>
      <c r="Z21" s="175"/>
      <c r="AA21" s="175"/>
      <c r="AB21" s="175">
        <f>+H21+J21+L21+N21+P21+R21+T21+V21+X21+Z21</f>
        <v>287744584</v>
      </c>
      <c r="AC21" s="175">
        <f>+I21+K21+M21+O21+Q21+S21+U21+W21+Y21+AA21</f>
        <v>190996864</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8161046791.8</v>
      </c>
      <c r="I23" s="481">
        <v>7204607356.82</v>
      </c>
      <c r="J23" s="481">
        <f>SUM(J14:J22)</f>
        <v>6423307161.2699995</v>
      </c>
      <c r="K23" s="481">
        <f>SUM(K14:K22)</f>
        <v>5382144599</v>
      </c>
      <c r="L23" s="482">
        <f>SUM(L15:L22)-1</f>
        <v>4426099457</v>
      </c>
      <c r="M23" s="483"/>
      <c r="N23" s="483"/>
      <c r="O23" s="483"/>
      <c r="P23" s="483"/>
      <c r="Q23" s="483"/>
      <c r="R23" s="483"/>
      <c r="S23" s="483"/>
      <c r="T23" s="483"/>
      <c r="U23" s="483"/>
      <c r="V23" s="483"/>
      <c r="W23" s="483"/>
      <c r="X23" s="483"/>
      <c r="Y23" s="483"/>
      <c r="Z23" s="483"/>
      <c r="AA23" s="483"/>
      <c r="AB23" s="478">
        <f>+H23+J23+L23+N23+P23+R23+T23+V23+X23+Z23+1</f>
        <v>19010453411.07</v>
      </c>
      <c r="AC23" s="479">
        <f>+I23+K23+M23+O23+Q23+S23+U23+W23+Y23+AA23</f>
        <v>12586751955.82</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75389146.23999977</v>
      </c>
      <c r="I25" s="178">
        <v>109652137.1800003</v>
      </c>
      <c r="J25" s="178">
        <f>+J12-J23</f>
        <v>75402474.56000042</v>
      </c>
      <c r="K25" s="178">
        <f>+K12-K23</f>
        <v>47607428</v>
      </c>
      <c r="L25" s="178">
        <f>+L12-L23</f>
        <v>41978853</v>
      </c>
      <c r="M25" s="178"/>
      <c r="N25" s="178"/>
      <c r="O25" s="178"/>
      <c r="P25" s="178"/>
      <c r="Q25" s="178"/>
      <c r="R25" s="178"/>
      <c r="S25" s="178"/>
      <c r="T25" s="178"/>
      <c r="U25" s="178"/>
      <c r="V25" s="178"/>
      <c r="W25" s="178"/>
      <c r="X25" s="178"/>
      <c r="Y25" s="178"/>
      <c r="Z25" s="178"/>
      <c r="AA25" s="178"/>
      <c r="AB25" s="175">
        <f>+H25+J25+L25+N25+P25+R25+T25+V25+X25+Z25</f>
        <v>192770473.8000002</v>
      </c>
      <c r="AC25" s="175">
        <f>+I25+K25+M25+O25+Q25+S25+U25+W25+Y25+AA25</f>
        <v>157259565.1800003</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75389146.23999977</v>
      </c>
      <c r="I28" s="180">
        <v>109652137.1800003</v>
      </c>
      <c r="J28" s="180">
        <f>+J25-J27</f>
        <v>75402474.56000042</v>
      </c>
      <c r="K28" s="180">
        <f>+K25-K27</f>
        <v>47607428</v>
      </c>
      <c r="L28" s="180">
        <f>+L25-L27</f>
        <v>41978853</v>
      </c>
      <c r="M28" s="180"/>
      <c r="N28" s="180"/>
      <c r="O28" s="180"/>
      <c r="P28" s="180"/>
      <c r="Q28" s="180"/>
      <c r="R28" s="180"/>
      <c r="S28" s="180"/>
      <c r="T28" s="180"/>
      <c r="U28" s="180"/>
      <c r="V28" s="180"/>
      <c r="W28" s="180"/>
      <c r="X28" s="180"/>
      <c r="Y28" s="180"/>
      <c r="Z28" s="180"/>
      <c r="AA28" s="180"/>
      <c r="AB28" s="175">
        <f>+H28+J28+L28+N28+P28+R28+T28+V28+X28+Z28</f>
        <v>192770473.8000002</v>
      </c>
      <c r="AC28" s="175">
        <f>+I28+K28+M28+O28+Q28+S28+U28+W28+Y28+AA28</f>
        <v>157259565.1800003</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75389146.23999977</v>
      </c>
      <c r="I30" s="487">
        <v>109652137.1800003</v>
      </c>
      <c r="J30" s="487">
        <f>+J28-J29</f>
        <v>75402474.56000042</v>
      </c>
      <c r="K30" s="487">
        <f>+K28-K29</f>
        <v>47607428</v>
      </c>
      <c r="L30" s="487">
        <f>+L28-L29</f>
        <v>41978853</v>
      </c>
      <c r="M30" s="487"/>
      <c r="N30" s="487"/>
      <c r="O30" s="487"/>
      <c r="P30" s="487"/>
      <c r="Q30" s="487"/>
      <c r="R30" s="487"/>
      <c r="S30" s="487"/>
      <c r="T30" s="487"/>
      <c r="U30" s="487"/>
      <c r="V30" s="487"/>
      <c r="W30" s="487"/>
      <c r="X30" s="487"/>
      <c r="Y30" s="487"/>
      <c r="Z30" s="487"/>
      <c r="AA30" s="487"/>
      <c r="AB30" s="175">
        <f>+H30+J30+L30+N30+P30+R30+T30+V30+X30+Z30</f>
        <v>192770473.8000002</v>
      </c>
      <c r="AC30" s="175">
        <f>+I30+K30+M30+O30+Q30+S30+U30+W30+Y30+AA30</f>
        <v>157259565.1800003</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v>0</v>
      </c>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75389146.23999977</v>
      </c>
      <c r="I37" s="487">
        <v>109652137.1800003</v>
      </c>
      <c r="J37" s="487">
        <f>+J30-J35</f>
        <v>75402474.56000042</v>
      </c>
      <c r="K37" s="487">
        <f>+K30-K35</f>
        <v>47607428</v>
      </c>
      <c r="L37" s="487">
        <f>+L30-L35</f>
        <v>41978853</v>
      </c>
      <c r="M37" s="487"/>
      <c r="N37" s="487"/>
      <c r="O37" s="487"/>
      <c r="P37" s="487"/>
      <c r="Q37" s="487"/>
      <c r="R37" s="487"/>
      <c r="S37" s="487"/>
      <c r="T37" s="487"/>
      <c r="U37" s="487"/>
      <c r="V37" s="487"/>
      <c r="W37" s="487"/>
      <c r="X37" s="487"/>
      <c r="Y37" s="487"/>
      <c r="Z37" s="487"/>
      <c r="AA37" s="487"/>
      <c r="AB37" s="175">
        <f>+H37+J37+L37+N37+P37+R37+T37+V37+X37+Z37</f>
        <v>192770473.8000002</v>
      </c>
      <c r="AC37" s="175">
        <f>+I37+K37+M37+O37+Q37+S37+U37+W37+Y37+AA37</f>
        <v>157259565.1800003</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75389146.23999977</v>
      </c>
      <c r="I41" s="200">
        <v>109652137.1800003</v>
      </c>
      <c r="J41" s="200">
        <f>+J37+J40</f>
        <v>75402474.56000042</v>
      </c>
      <c r="K41" s="200">
        <f>+K37+K40</f>
        <v>47607428</v>
      </c>
      <c r="L41" s="384">
        <f>+L37+L40</f>
        <v>41978853</v>
      </c>
      <c r="M41" s="399"/>
      <c r="N41" s="399"/>
      <c r="O41" s="399"/>
      <c r="P41" s="399"/>
      <c r="Q41" s="399"/>
      <c r="R41" s="399"/>
      <c r="S41" s="399"/>
      <c r="T41" s="399"/>
      <c r="U41" s="399"/>
      <c r="V41" s="399"/>
      <c r="W41" s="399"/>
      <c r="X41" s="399"/>
      <c r="Y41" s="399"/>
      <c r="Z41" s="399"/>
      <c r="AA41" s="399"/>
      <c r="AB41" s="491">
        <f>+H41+J41+L41+N41+P41+R41+T41+V41+X41+Z41</f>
        <v>192770473.8000002</v>
      </c>
      <c r="AC41" s="492">
        <f>+I41+K41+M41+O41+Q41+S41+U41+W41+Y41+AA41</f>
        <v>157259565.1800003</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B8:F8"/>
    <mergeCell ref="B47:F48"/>
    <mergeCell ref="G47:G48"/>
    <mergeCell ref="D16:F17"/>
    <mergeCell ref="G16:G17"/>
    <mergeCell ref="V16:V17"/>
    <mergeCell ref="X16:X17"/>
    <mergeCell ref="Z16:Z17"/>
    <mergeCell ref="N16:N17"/>
    <mergeCell ref="P16:P17"/>
    <mergeCell ref="R16:R17"/>
    <mergeCell ref="T16:T17"/>
    <mergeCell ref="W16:W17"/>
    <mergeCell ref="U16:U17"/>
    <mergeCell ref="S16:S17"/>
    <mergeCell ref="AD16:AD17"/>
    <mergeCell ref="AC16:AC17"/>
    <mergeCell ref="AA16:AA17"/>
    <mergeCell ref="Y16:Y17"/>
    <mergeCell ref="Q16:Q17"/>
    <mergeCell ref="O16:O17"/>
    <mergeCell ref="M16:M17"/>
    <mergeCell ref="L16:L17"/>
    <mergeCell ref="K16:K17"/>
    <mergeCell ref="J16:J17"/>
    <mergeCell ref="I16:I17"/>
    <mergeCell ref="H16:H17"/>
  </mergeCells>
  <printOptions horizontalCentered="1"/>
  <pageMargins left="0.3" right="0.55" top="0.66" bottom="0.5" header="0" footer="0"/>
  <pageSetup fitToHeight="1" fitToWidth="1" horizontalDpi="600" verticalDpi="600" orientation="landscape" paperSize="5" scale="71" r:id="rId1"/>
</worksheet>
</file>

<file path=xl/worksheets/sheet6.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O5" sqref="O5:O6"/>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26" t="s">
        <v>320</v>
      </c>
      <c r="J5" s="526" t="s">
        <v>320</v>
      </c>
      <c r="K5" s="526" t="s">
        <v>320</v>
      </c>
      <c r="L5" s="556" t="s">
        <v>320</v>
      </c>
      <c r="M5" s="526" t="s">
        <v>320</v>
      </c>
      <c r="N5" s="556" t="s">
        <v>320</v>
      </c>
      <c r="O5" s="526" t="s">
        <v>320</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527"/>
      <c r="J6" s="527"/>
      <c r="K6" s="527"/>
      <c r="L6" s="525"/>
      <c r="M6" s="527"/>
      <c r="N6" s="525"/>
      <c r="O6" s="527"/>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1053837271.2399998</v>
      </c>
      <c r="J10" s="434">
        <v>978448125.1800003</v>
      </c>
      <c r="K10" s="434">
        <v>868795988.5600004</v>
      </c>
      <c r="L10" s="434" t="e">
        <f>#REF!</f>
        <v>#REF!</v>
      </c>
      <c r="M10" s="434">
        <v>793393514</v>
      </c>
      <c r="N10" s="434" t="e">
        <f>#REF!</f>
        <v>#REF!</v>
      </c>
      <c r="O10" s="434">
        <v>740713554</v>
      </c>
      <c r="P10" s="434" t="e">
        <f>#REF!</f>
        <v>#REF!</v>
      </c>
      <c r="Q10" s="434"/>
      <c r="R10" s="434"/>
      <c r="S10" s="434"/>
      <c r="T10" s="434"/>
      <c r="U10" s="434"/>
      <c r="V10" s="434"/>
      <c r="W10" s="434"/>
      <c r="X10" s="434"/>
      <c r="Y10" s="434"/>
      <c r="Z10" s="434"/>
      <c r="AA10" s="434"/>
      <c r="AB10" s="434" t="e">
        <f>#REF!</f>
        <v>#REF!</v>
      </c>
      <c r="AC10" s="434">
        <f>I10+K10+M10+O10+Q10+S10+U10+Y10+AA10+W10+1</f>
        <v>3456740328.8</v>
      </c>
      <c r="AD10" s="434" t="e">
        <f>J10+L10+N10+P10+R10+T10+V10+Z10+AB10+X10</f>
        <v>#REF!</v>
      </c>
      <c r="AE10" s="349" t="e">
        <f>#REF!</f>
        <v>#REF!</v>
      </c>
      <c r="AF10" s="185"/>
    </row>
    <row r="11" spans="2:32" ht="15.75">
      <c r="B11" s="291"/>
      <c r="C11" s="435"/>
      <c r="D11" s="296"/>
      <c r="E11" s="291"/>
      <c r="F11" s="291"/>
      <c r="G11" s="311" t="s">
        <v>389</v>
      </c>
      <c r="H11" s="347"/>
      <c r="I11" s="174">
        <v>1053837271.2399998</v>
      </c>
      <c r="J11" s="174">
        <v>978448125.1800003</v>
      </c>
      <c r="K11" s="174">
        <f>SUM(K9:K10)</f>
        <v>868795988.5600004</v>
      </c>
      <c r="L11" s="174" t="e">
        <f>SUM(L9:L10)</f>
        <v>#REF!</v>
      </c>
      <c r="M11" s="174">
        <f>+M9+M10</f>
        <v>793393514</v>
      </c>
      <c r="N11" s="174" t="e">
        <f>+N9+N10</f>
        <v>#REF!</v>
      </c>
      <c r="O11" s="174">
        <f>SUM(O9:O10)</f>
        <v>740713554</v>
      </c>
      <c r="P11" s="436" t="e">
        <f>SUM(P9:P10)</f>
        <v>#REF!</v>
      </c>
      <c r="Q11" s="416"/>
      <c r="R11" s="416"/>
      <c r="S11" s="416"/>
      <c r="T11" s="416"/>
      <c r="U11" s="416"/>
      <c r="V11" s="416"/>
      <c r="W11" s="416"/>
      <c r="X11" s="416"/>
      <c r="Y11" s="416"/>
      <c r="Z11" s="416"/>
      <c r="AA11" s="416"/>
      <c r="AB11" s="437" t="e">
        <f>+AB9+AB10</f>
        <v>#REF!</v>
      </c>
      <c r="AC11" s="438">
        <f>I11+K11+M11+O11+Q11+S11+U11+Y11+AA11+W11+1</f>
        <v>3456740328.8</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656661</v>
      </c>
      <c r="J17" s="434">
        <v>1692473</v>
      </c>
      <c r="K17" s="434">
        <v>1292473</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1949134</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656661</v>
      </c>
      <c r="J19" s="174">
        <v>1692473</v>
      </c>
      <c r="K19" s="174">
        <f>SUM(K15:K18)</f>
        <v>1292473</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1949134</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865387902.43</v>
      </c>
      <c r="J22" s="434">
        <v>598261620.87</v>
      </c>
      <c r="K22" s="434">
        <v>521668706.84000003</v>
      </c>
      <c r="L22" s="434" t="e">
        <f>#REF!</f>
        <v>#REF!</v>
      </c>
      <c r="M22" s="434">
        <v>543472956</v>
      </c>
      <c r="N22" s="434" t="e">
        <f>#REF!</f>
        <v>#REF!</v>
      </c>
      <c r="O22" s="434">
        <v>353679221</v>
      </c>
      <c r="P22" s="434" t="e">
        <f>#REF!</f>
        <v>#REF!</v>
      </c>
      <c r="Q22" s="434"/>
      <c r="R22" s="434"/>
      <c r="S22" s="434"/>
      <c r="T22" s="434"/>
      <c r="U22" s="434"/>
      <c r="V22" s="434"/>
      <c r="W22" s="434"/>
      <c r="X22" s="434"/>
      <c r="Y22" s="434"/>
      <c r="Z22" s="434"/>
      <c r="AA22" s="434"/>
      <c r="AB22" s="434" t="e">
        <f>#REF!</f>
        <v>#REF!</v>
      </c>
      <c r="AC22" s="434">
        <f aca="true" t="shared" si="1" ref="AC22:AD24">I22+K22+M22+O22+Q22+S22+U22+Y22+AA22+W22</f>
        <v>2284208786.27</v>
      </c>
      <c r="AD22" s="434" t="e">
        <f t="shared" si="1"/>
        <v>#REF!</v>
      </c>
      <c r="AE22" s="349" t="e">
        <f>#REF!</f>
        <v>#REF!</v>
      </c>
    </row>
    <row r="23" spans="2:32" ht="15.75">
      <c r="B23" s="291"/>
      <c r="C23" s="297"/>
      <c r="D23" s="249" t="s">
        <v>243</v>
      </c>
      <c r="E23" s="297" t="s">
        <v>338</v>
      </c>
      <c r="F23" s="297"/>
      <c r="G23" s="442"/>
      <c r="H23" s="347" t="s">
        <v>168</v>
      </c>
      <c r="I23" s="347">
        <v>45971725.82</v>
      </c>
      <c r="J23" s="434">
        <v>30755734</v>
      </c>
      <c r="K23" s="434">
        <v>58234683</v>
      </c>
      <c r="L23" s="434" t="e">
        <f>#REF!</f>
        <v>#REF!</v>
      </c>
      <c r="M23" s="434">
        <f>560210245-M22</f>
        <v>16737289</v>
      </c>
      <c r="N23" s="434" t="e">
        <f>#REF!</f>
        <v>#REF!</v>
      </c>
      <c r="O23" s="434">
        <f>411205813-O22</f>
        <v>57526592</v>
      </c>
      <c r="P23" s="434" t="e">
        <f>#REF!</f>
        <v>#REF!</v>
      </c>
      <c r="Q23" s="434"/>
      <c r="R23" s="434"/>
      <c r="S23" s="434"/>
      <c r="T23" s="434"/>
      <c r="U23" s="434"/>
      <c r="V23" s="434"/>
      <c r="W23" s="434"/>
      <c r="X23" s="434"/>
      <c r="Y23" s="434"/>
      <c r="Z23" s="434"/>
      <c r="AA23" s="434"/>
      <c r="AB23" s="434" t="e">
        <f>#REF!</f>
        <v>#REF!</v>
      </c>
      <c r="AC23" s="434">
        <f t="shared" si="1"/>
        <v>178470289.82</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-955593968.08</v>
      </c>
      <c r="J25" s="434">
        <v>-937002649.94</v>
      </c>
      <c r="K25" s="434">
        <v>-938577504.97</v>
      </c>
      <c r="L25" s="434">
        <v>-56414291.370000035</v>
      </c>
      <c r="M25" s="434">
        <v>-735383742</v>
      </c>
      <c r="N25" s="434">
        <v>-937002649.94</v>
      </c>
      <c r="O25" s="434">
        <v>-843341497</v>
      </c>
      <c r="P25" s="434">
        <v>-196312660.29999998</v>
      </c>
      <c r="Q25" s="434"/>
      <c r="R25" s="434"/>
      <c r="S25" s="434"/>
      <c r="T25" s="434"/>
      <c r="U25" s="434"/>
      <c r="V25" s="434"/>
      <c r="W25" s="434"/>
      <c r="X25" s="434"/>
      <c r="Y25" s="434"/>
      <c r="Z25" s="434"/>
      <c r="AA25" s="434"/>
      <c r="AB25" s="434">
        <f>5274209230-5200000</f>
        <v>5269009230</v>
      </c>
      <c r="AC25" s="434">
        <f>I25+K25+M25+O25+Q25+S25+U25+Y25+AA25+W25+1</f>
        <v>-3472896711.05</v>
      </c>
      <c r="AD25" s="434">
        <f>J25+L25+N25+P25+R25+T25+V25+Z25+AB25+X25</f>
        <v>3142276978.45</v>
      </c>
      <c r="AE25" s="349">
        <v>0.25999951362609863</v>
      </c>
    </row>
    <row r="26" spans="2:32" ht="16.5" thickBot="1">
      <c r="B26" s="291"/>
      <c r="C26" s="296"/>
      <c r="D26" s="291"/>
      <c r="E26" s="291"/>
      <c r="F26" s="291"/>
      <c r="G26" s="311" t="s">
        <v>391</v>
      </c>
      <c r="H26" s="347"/>
      <c r="I26" s="446">
        <v>-44234339.83000004</v>
      </c>
      <c r="J26" s="446">
        <v>-307985295.07000005</v>
      </c>
      <c r="K26" s="446">
        <f>SUM(K21:K25)</f>
        <v>-358674115.13</v>
      </c>
      <c r="L26" s="446" t="e">
        <f>SUM(L21:L25)</f>
        <v>#REF!</v>
      </c>
      <c r="M26" s="446">
        <f>SUM(M21:M25)</f>
        <v>-175173497</v>
      </c>
      <c r="N26" s="446" t="e">
        <f>SUM(N21:N25)</f>
        <v>#REF!</v>
      </c>
      <c r="O26" s="446">
        <f>SUM(O22:O25)</f>
        <v>-432135684</v>
      </c>
      <c r="P26" s="447" t="e">
        <f>SUM(P22:P25)</f>
        <v>#REF!</v>
      </c>
      <c r="Q26" s="416"/>
      <c r="R26" s="416"/>
      <c r="S26" s="416"/>
      <c r="T26" s="416"/>
      <c r="U26" s="416"/>
      <c r="V26" s="416"/>
      <c r="W26" s="416"/>
      <c r="X26" s="416"/>
      <c r="Y26" s="416"/>
      <c r="Z26" s="416"/>
      <c r="AA26" s="416"/>
      <c r="AB26" s="448" t="e">
        <f>SUM(AB21:AB25)</f>
        <v>#REF!</v>
      </c>
      <c r="AC26" s="449">
        <f>I26+K26+M26+O26+Q26+S26+U26+Y26+AA26+W26+1</f>
        <v>-1010217634.96</v>
      </c>
      <c r="AD26" s="449" t="e">
        <f>J26+L26+N26+P26+R26+T26+V26+Z26+AB26+X26</f>
        <v>#REF!</v>
      </c>
      <c r="AE26" s="440" t="e">
        <f>SUM(AE21:AE25)</f>
        <v>#REF!</v>
      </c>
      <c r="AF26" s="264"/>
    </row>
    <row r="27" spans="2:31" ht="16.5" thickTop="1">
      <c r="B27" s="291"/>
      <c r="C27" s="250">
        <v>-4</v>
      </c>
      <c r="D27" s="32" t="s">
        <v>315</v>
      </c>
      <c r="E27" s="291"/>
      <c r="F27" s="291"/>
      <c r="G27" s="311"/>
      <c r="H27" s="347" t="s">
        <v>170</v>
      </c>
      <c r="I27" s="450"/>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1010259592.4099997</v>
      </c>
      <c r="J29" s="334">
        <v>672155303.1100003</v>
      </c>
      <c r="K29" s="334">
        <f aca="true" t="shared" si="2" ref="K29:P29">K28+K26+K19+K11</f>
        <v>511414346.4300004</v>
      </c>
      <c r="L29" s="334" t="e">
        <f t="shared" si="2"/>
        <v>#REF!</v>
      </c>
      <c r="M29" s="334">
        <f>M28+M26+M19+M11</f>
        <v>618220017</v>
      </c>
      <c r="N29" s="334" t="e">
        <f t="shared" si="2"/>
        <v>#REF!</v>
      </c>
      <c r="O29" s="334">
        <f t="shared" si="2"/>
        <v>308577870</v>
      </c>
      <c r="P29" s="401" t="e">
        <f t="shared" si="2"/>
        <v>#REF!</v>
      </c>
      <c r="Q29" s="416"/>
      <c r="R29" s="416"/>
      <c r="S29" s="416"/>
      <c r="T29" s="416"/>
      <c r="U29" s="416"/>
      <c r="V29" s="416"/>
      <c r="W29" s="416"/>
      <c r="X29" s="416"/>
      <c r="Y29" s="416"/>
      <c r="Z29" s="416"/>
      <c r="AA29" s="416"/>
      <c r="AB29" s="407" t="e">
        <f>AB28+AB26+AB19+AB11</f>
        <v>#REF!</v>
      </c>
      <c r="AC29" s="245">
        <f>AC11+AC19+AC26+AC28</f>
        <v>2448471827.84</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17080967.859999996</v>
      </c>
      <c r="J33" s="434">
        <v>9484163.41</v>
      </c>
      <c r="K33" s="434">
        <v>10141207.23</v>
      </c>
      <c r="L33" s="434">
        <v>1927719.1500000001</v>
      </c>
      <c r="M33" s="434">
        <v>10201419</v>
      </c>
      <c r="N33" s="434">
        <v>9484163.41</v>
      </c>
      <c r="O33" s="434">
        <v>10436242</v>
      </c>
      <c r="P33" s="434">
        <v>34728931.88999999</v>
      </c>
      <c r="Q33" s="434"/>
      <c r="R33" s="434"/>
      <c r="S33" s="434"/>
      <c r="T33" s="434"/>
      <c r="U33" s="434"/>
      <c r="V33" s="434"/>
      <c r="W33" s="434"/>
      <c r="X33" s="434"/>
      <c r="Y33" s="434"/>
      <c r="Z33" s="443"/>
      <c r="AA33" s="443"/>
      <c r="AB33" s="434">
        <v>5470799.6</v>
      </c>
      <c r="AC33" s="434">
        <f>I33+K33+M33+O33+Q33+S33+U33+Y33+AA33+W33-1</f>
        <v>47859835.089999996</v>
      </c>
      <c r="AD33" s="434">
        <f>J33+L33+N33+P33+R33+T33+V33+Z33+AB33+X33</f>
        <v>61095777.45999999</v>
      </c>
      <c r="AE33" s="349">
        <v>335773865.227</v>
      </c>
    </row>
    <row r="34" spans="2:31" ht="15.75">
      <c r="B34" s="291"/>
      <c r="C34" s="336"/>
      <c r="D34" s="297"/>
      <c r="E34" s="249" t="s">
        <v>265</v>
      </c>
      <c r="F34" s="338" t="s">
        <v>204</v>
      </c>
      <c r="G34" s="442"/>
      <c r="H34" s="347" t="s">
        <v>171</v>
      </c>
      <c r="I34" s="347"/>
      <c r="J34" s="434"/>
      <c r="K34" s="434"/>
      <c r="L34" s="434">
        <v>0</v>
      </c>
      <c r="M34" s="434"/>
      <c r="N34" s="434"/>
      <c r="O34" s="434"/>
      <c r="P34" s="434">
        <v>10917555</v>
      </c>
      <c r="Q34" s="434"/>
      <c r="R34" s="434"/>
      <c r="S34" s="434"/>
      <c r="T34" s="434"/>
      <c r="U34" s="434"/>
      <c r="V34" s="434"/>
      <c r="W34" s="434"/>
      <c r="X34" s="434"/>
      <c r="Y34" s="434"/>
      <c r="Z34" s="434"/>
      <c r="AA34" s="434"/>
      <c r="AB34" s="434">
        <v>184835</v>
      </c>
      <c r="AC34" s="434">
        <f>I34+K34+M34+O34+Q34+S34+U34+Y34+AA34+W34</f>
        <v>0</v>
      </c>
      <c r="AD34" s="434">
        <f>J34+L34+N34+P34+R34+T34+V34+Z34+AB34+X34</f>
        <v>11102390</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263705</v>
      </c>
      <c r="J38" s="434">
        <v>1163635</v>
      </c>
      <c r="K38" s="434">
        <v>341635</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605340</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17344672.859999996</v>
      </c>
      <c r="J41" s="174">
        <v>10647798.41</v>
      </c>
      <c r="K41" s="174">
        <f aca="true" t="shared" si="3" ref="K41:P41">SUM(K33:K40)</f>
        <v>10482842.23</v>
      </c>
      <c r="L41" s="174" t="e">
        <f t="shared" si="3"/>
        <v>#REF!</v>
      </c>
      <c r="M41" s="174">
        <f t="shared" si="3"/>
        <v>10201419</v>
      </c>
      <c r="N41" s="174" t="e">
        <f t="shared" si="3"/>
        <v>#REF!</v>
      </c>
      <c r="O41" s="174">
        <f t="shared" si="3"/>
        <v>10436242</v>
      </c>
      <c r="P41" s="436" t="e">
        <f t="shared" si="3"/>
        <v>#REF!</v>
      </c>
      <c r="Q41" s="416"/>
      <c r="R41" s="416"/>
      <c r="S41" s="416"/>
      <c r="T41" s="416"/>
      <c r="U41" s="416"/>
      <c r="V41" s="416"/>
      <c r="W41" s="416"/>
      <c r="X41" s="416"/>
      <c r="Y41" s="416"/>
      <c r="Z41" s="416"/>
      <c r="AA41" s="416"/>
      <c r="AB41" s="308" t="e">
        <f>SUM(AB33:AB40)</f>
        <v>#REF!</v>
      </c>
      <c r="AC41" s="444">
        <f>I41+K41+M41+O41+Q41+S41+U41+Y41+AA41+W41-1</f>
        <v>48465175.089999996</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v>390898577</v>
      </c>
      <c r="J44" s="434">
        <v>299312052</v>
      </c>
      <c r="K44" s="434">
        <v>187907818</v>
      </c>
      <c r="L44" s="434" t="e">
        <f>#REF!</f>
        <v>#REF!</v>
      </c>
      <c r="M44" s="434">
        <v>190135550</v>
      </c>
      <c r="N44" s="434" t="e">
        <f>#REF!</f>
        <v>#REF!</v>
      </c>
      <c r="O44" s="434">
        <v>166759602</v>
      </c>
      <c r="P44" s="434">
        <v>0</v>
      </c>
      <c r="Q44" s="434"/>
      <c r="R44" s="434"/>
      <c r="S44" s="434"/>
      <c r="T44" s="434"/>
      <c r="U44" s="434"/>
      <c r="V44" s="434"/>
      <c r="W44" s="434"/>
      <c r="X44" s="434"/>
      <c r="Y44" s="434"/>
      <c r="Z44" s="434"/>
      <c r="AA44" s="434"/>
      <c r="AB44" s="434">
        <v>0</v>
      </c>
      <c r="AC44" s="434">
        <f aca="true" t="shared" si="4" ref="AC44:AD48">I44+K44+M44+O44+Q44+S44+U44+Y44+AA44+W44</f>
        <v>935701547</v>
      </c>
      <c r="AD44" s="434" t="e">
        <f t="shared" si="4"/>
        <v>#REF!</v>
      </c>
      <c r="AE44" s="349" t="e">
        <f>#REF!</f>
        <v>#REF!</v>
      </c>
    </row>
    <row r="45" spans="2:31" ht="15.75">
      <c r="B45" s="291"/>
      <c r="C45" s="297"/>
      <c r="D45" s="249" t="s">
        <v>242</v>
      </c>
      <c r="E45" s="297" t="s">
        <v>352</v>
      </c>
      <c r="F45" s="297"/>
      <c r="G45" s="442"/>
      <c r="H45" s="347" t="s">
        <v>175</v>
      </c>
      <c r="I45" s="347"/>
      <c r="J45" s="434">
        <v>0</v>
      </c>
      <c r="K45" s="434"/>
      <c r="L45" s="434">
        <v>0</v>
      </c>
      <c r="M45" s="434">
        <v>173880</v>
      </c>
      <c r="N45" s="434">
        <v>0</v>
      </c>
      <c r="O45" s="434">
        <v>0</v>
      </c>
      <c r="P45" s="434" t="e">
        <f>#REF!</f>
        <v>#REF!</v>
      </c>
      <c r="Q45" s="434"/>
      <c r="R45" s="434"/>
      <c r="S45" s="434"/>
      <c r="T45" s="434"/>
      <c r="U45" s="434"/>
      <c r="V45" s="434"/>
      <c r="W45" s="434"/>
      <c r="X45" s="434"/>
      <c r="Y45" s="434"/>
      <c r="Z45" s="434"/>
      <c r="AA45" s="434"/>
      <c r="AB45" s="434" t="e">
        <f>#REF!</f>
        <v>#REF!</v>
      </c>
      <c r="AC45" s="434">
        <f t="shared" si="4"/>
        <v>173880</v>
      </c>
      <c r="AD45" s="434" t="e">
        <f t="shared" si="4"/>
        <v>#REF!</v>
      </c>
      <c r="AE45" s="349" t="e">
        <f>#REF!</f>
        <v>#REF!</v>
      </c>
    </row>
    <row r="46" spans="2:31" ht="15.75">
      <c r="B46" s="291"/>
      <c r="C46" s="297"/>
      <c r="D46" s="249" t="s">
        <v>243</v>
      </c>
      <c r="E46" s="297" t="s">
        <v>353</v>
      </c>
      <c r="F46" s="297"/>
      <c r="G46" s="442"/>
      <c r="H46" s="347" t="s">
        <v>176</v>
      </c>
      <c r="I46" s="347">
        <v>444691567.45</v>
      </c>
      <c r="J46" s="434">
        <v>156504597.01</v>
      </c>
      <c r="K46" s="434">
        <v>156134866.71</v>
      </c>
      <c r="L46" s="434" t="e">
        <f>#REF!</f>
        <v>#REF!</v>
      </c>
      <c r="M46" s="434">
        <v>294613812</v>
      </c>
      <c r="N46" s="434" t="e">
        <f>#REF!</f>
        <v>#REF!</v>
      </c>
      <c r="O46" s="434">
        <v>44724388</v>
      </c>
      <c r="P46" s="434" t="e">
        <f>#REF!</f>
        <v>#REF!</v>
      </c>
      <c r="Q46" s="434"/>
      <c r="R46" s="434"/>
      <c r="S46" s="434"/>
      <c r="T46" s="434"/>
      <c r="U46" s="434"/>
      <c r="V46" s="434"/>
      <c r="W46" s="434"/>
      <c r="X46" s="434"/>
      <c r="Y46" s="434"/>
      <c r="Z46" s="434"/>
      <c r="AA46" s="434"/>
      <c r="AB46" s="434" t="e">
        <f>#REF!</f>
        <v>#REF!</v>
      </c>
      <c r="AC46" s="434">
        <f t="shared" si="4"/>
        <v>940164634.16</v>
      </c>
      <c r="AD46" s="434" t="e">
        <f t="shared" si="4"/>
        <v>#REF!</v>
      </c>
      <c r="AE46" s="349" t="e">
        <f>#REF!</f>
        <v>#REF!</v>
      </c>
    </row>
    <row r="47" spans="2:31" ht="15.75">
      <c r="B47" s="291"/>
      <c r="C47" s="297"/>
      <c r="D47" s="249" t="s">
        <v>252</v>
      </c>
      <c r="E47" s="297" t="s">
        <v>354</v>
      </c>
      <c r="F47" s="297"/>
      <c r="G47" s="442"/>
      <c r="H47" s="347" t="s">
        <v>177</v>
      </c>
      <c r="I47" s="347">
        <v>157324775</v>
      </c>
      <c r="J47" s="434">
        <v>205578895</v>
      </c>
      <c r="K47" s="434">
        <f>133380750+23397745</f>
        <v>156778495</v>
      </c>
      <c r="L47" s="434" t="e">
        <f>#REF!</f>
        <v>#REF!</v>
      </c>
      <c r="M47" s="434">
        <v>123095356</v>
      </c>
      <c r="N47" s="434" t="e">
        <f>#REF!</f>
        <v>#REF!</v>
      </c>
      <c r="O47" s="434">
        <v>86657638</v>
      </c>
      <c r="P47" s="434" t="e">
        <f>#REF!</f>
        <v>#REF!</v>
      </c>
      <c r="Q47" s="434"/>
      <c r="R47" s="434"/>
      <c r="S47" s="434"/>
      <c r="T47" s="434"/>
      <c r="U47" s="434"/>
      <c r="V47" s="434"/>
      <c r="W47" s="434"/>
      <c r="X47" s="434"/>
      <c r="Y47" s="434"/>
      <c r="Z47" s="434"/>
      <c r="AA47" s="434"/>
      <c r="AB47" s="434" t="e">
        <f>#REF!</f>
        <v>#REF!</v>
      </c>
      <c r="AC47" s="434">
        <f t="shared" si="4"/>
        <v>523856264</v>
      </c>
      <c r="AD47" s="434" t="e">
        <f t="shared" si="4"/>
        <v>#REF!</v>
      </c>
      <c r="AE47" s="349" t="e">
        <f>#REF!</f>
        <v>#REF!</v>
      </c>
    </row>
    <row r="48" spans="2:31" ht="15.75">
      <c r="B48" s="291"/>
      <c r="C48" s="296"/>
      <c r="D48" s="249" t="s">
        <v>274</v>
      </c>
      <c r="E48" s="297" t="s">
        <v>355</v>
      </c>
      <c r="F48" s="297"/>
      <c r="G48" s="442"/>
      <c r="H48" s="347" t="s">
        <v>178</v>
      </c>
      <c r="I48" s="347">
        <v>0</v>
      </c>
      <c r="J48" s="434">
        <v>111960</v>
      </c>
      <c r="K48" s="434">
        <v>110325</v>
      </c>
      <c r="L48" s="434">
        <v>0</v>
      </c>
      <c r="M48" s="434">
        <v>0</v>
      </c>
      <c r="N48" s="434" t="e">
        <f>#REF!</f>
        <v>#REF!</v>
      </c>
      <c r="O48" s="434">
        <v>0</v>
      </c>
      <c r="P48" s="434" t="e">
        <f>#REF!</f>
        <v>#REF!</v>
      </c>
      <c r="Q48" s="434"/>
      <c r="R48" s="434"/>
      <c r="S48" s="434"/>
      <c r="T48" s="434"/>
      <c r="U48" s="434"/>
      <c r="V48" s="434"/>
      <c r="W48" s="434"/>
      <c r="X48" s="434"/>
      <c r="Y48" s="434"/>
      <c r="Z48" s="434"/>
      <c r="AA48" s="434"/>
      <c r="AB48" s="434">
        <v>0</v>
      </c>
      <c r="AC48" s="434">
        <f t="shared" si="4"/>
        <v>110325</v>
      </c>
      <c r="AD48" s="460" t="e">
        <f t="shared" si="4"/>
        <v>#REF!</v>
      </c>
      <c r="AE48" s="349" t="e">
        <f>#REF!</f>
        <v>#REF!</v>
      </c>
    </row>
    <row r="49" spans="2:32" ht="15.75">
      <c r="B49" s="291"/>
      <c r="C49" s="296"/>
      <c r="D49" s="291"/>
      <c r="E49" s="291"/>
      <c r="F49" s="291"/>
      <c r="G49" s="311" t="s">
        <v>393</v>
      </c>
      <c r="H49" s="347"/>
      <c r="I49" s="174">
        <v>992914919.45</v>
      </c>
      <c r="J49" s="174">
        <v>661507504.01</v>
      </c>
      <c r="K49" s="174">
        <f aca="true" t="shared" si="5" ref="K49:P49">SUM(K43:K48)</f>
        <v>500931504.71000004</v>
      </c>
      <c r="L49" s="174" t="e">
        <f t="shared" si="5"/>
        <v>#REF!</v>
      </c>
      <c r="M49" s="174">
        <f t="shared" si="5"/>
        <v>608018598</v>
      </c>
      <c r="N49" s="174" t="e">
        <f t="shared" si="5"/>
        <v>#REF!</v>
      </c>
      <c r="O49" s="174">
        <f t="shared" si="5"/>
        <v>298141628</v>
      </c>
      <c r="P49" s="436" t="e">
        <f t="shared" si="5"/>
        <v>#REF!</v>
      </c>
      <c r="Q49" s="416"/>
      <c r="R49" s="416"/>
      <c r="S49" s="416"/>
      <c r="T49" s="416"/>
      <c r="U49" s="416"/>
      <c r="V49" s="416"/>
      <c r="W49" s="416"/>
      <c r="X49" s="416"/>
      <c r="Y49" s="416"/>
      <c r="Z49" s="416"/>
      <c r="AA49" s="416"/>
      <c r="AB49" s="437" t="e">
        <f>SUM(AB43:AB48)</f>
        <v>#REF!</v>
      </c>
      <c r="AC49" s="438">
        <f>I49+K49+M49+O49+Q49+S49+U49+Y49+AA49+W49+1</f>
        <v>2400006651.16</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1010259592.3100001</v>
      </c>
      <c r="J51" s="334">
        <v>672155302.42</v>
      </c>
      <c r="K51" s="334">
        <f aca="true" t="shared" si="6" ref="K51:P51">+K41+K49</f>
        <v>511414346.94000006</v>
      </c>
      <c r="L51" s="334" t="e">
        <f t="shared" si="6"/>
        <v>#REF!</v>
      </c>
      <c r="M51" s="334">
        <f t="shared" si="6"/>
        <v>618220017</v>
      </c>
      <c r="N51" s="334" t="e">
        <f t="shared" si="6"/>
        <v>#REF!</v>
      </c>
      <c r="O51" s="334">
        <f t="shared" si="6"/>
        <v>308577870</v>
      </c>
      <c r="P51" s="401" t="e">
        <f t="shared" si="6"/>
        <v>#REF!</v>
      </c>
      <c r="Q51" s="416"/>
      <c r="R51" s="416"/>
      <c r="S51" s="416"/>
      <c r="T51" s="416"/>
      <c r="U51" s="416"/>
      <c r="V51" s="416"/>
      <c r="W51" s="416"/>
      <c r="X51" s="416"/>
      <c r="Y51" s="416"/>
      <c r="Z51" s="416"/>
      <c r="AA51" s="416"/>
      <c r="AB51" s="407" t="e">
        <f>+AB41+AB49</f>
        <v>#REF!</v>
      </c>
      <c r="AC51" s="245">
        <f>I51+K51+M51+O51+Q51+S51+U51+Y51+AA51+W51</f>
        <v>2448471826.25</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0.09999966621398926</v>
      </c>
      <c r="J53" s="350">
        <f aca="true" t="shared" si="7" ref="J53:P53">J51-J29</f>
        <v>-0.6900002956390381</v>
      </c>
      <c r="K53" s="350">
        <f t="shared" si="7"/>
        <v>0.5099996328353882</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-1.5900001525878906</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11">
    <mergeCell ref="E58:L58"/>
    <mergeCell ref="B55:G56"/>
    <mergeCell ref="H55:H56"/>
    <mergeCell ref="N5:N6"/>
    <mergeCell ref="I5:I6"/>
    <mergeCell ref="J5:J6"/>
    <mergeCell ref="K5:K6"/>
    <mergeCell ref="L5:L6"/>
    <mergeCell ref="M5:M6"/>
    <mergeCell ref="O5:O6"/>
    <mergeCell ref="P5:P6"/>
  </mergeCells>
  <printOptions horizontalCentered="1"/>
  <pageMargins left="0.75" right="0.33" top="0.64" bottom="0.41" header="0.25" footer="0.15"/>
  <pageSetup fitToHeight="1" fitToWidth="1" horizontalDpi="300" verticalDpi="300" orientation="landscape" paperSize="5" scale="67" r:id="rId1"/>
</worksheet>
</file>

<file path=xl/worksheets/sheet7.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3" t="s">
        <v>205</v>
      </c>
      <c r="I6" s="513" t="s">
        <v>205</v>
      </c>
      <c r="J6" s="513" t="s">
        <v>205</v>
      </c>
      <c r="K6" s="513" t="s">
        <v>205</v>
      </c>
      <c r="L6" s="513" t="s">
        <v>205</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471"/>
      <c r="I7" s="471"/>
      <c r="J7" s="471"/>
      <c r="K7" s="471"/>
      <c r="L7" s="472"/>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85013370</v>
      </c>
      <c r="I9" s="175">
        <v>77998712</v>
      </c>
      <c r="J9" s="175">
        <v>56251848.2</v>
      </c>
      <c r="K9" s="175">
        <v>0</v>
      </c>
      <c r="L9" s="175">
        <v>0</v>
      </c>
      <c r="M9" s="175"/>
      <c r="N9" s="175"/>
      <c r="O9" s="175"/>
      <c r="P9" s="175"/>
      <c r="Q9" s="175"/>
      <c r="R9" s="175"/>
      <c r="S9" s="175"/>
      <c r="T9" s="175"/>
      <c r="U9" s="175"/>
      <c r="V9" s="175"/>
      <c r="W9" s="175"/>
      <c r="X9" s="175"/>
      <c r="Y9" s="175"/>
      <c r="Z9" s="175"/>
      <c r="AA9" s="175"/>
      <c r="AB9" s="175">
        <f>+H9+J9+L9+N9+P9+R9+T9+V9+X9+Z9</f>
        <v>141265218.2</v>
      </c>
      <c r="AC9" s="175">
        <f>+I9+K9+M9+O9+Q9+S9+U9+W9+Y9+AA9</f>
        <v>77998712</v>
      </c>
      <c r="AD9" s="191" t="e">
        <f>#REF!</f>
        <v>#REF!</v>
      </c>
      <c r="AE9" s="192"/>
    </row>
    <row r="10" spans="2:31" ht="15.75">
      <c r="B10" s="260" t="s">
        <v>259</v>
      </c>
      <c r="C10" s="32" t="s">
        <v>357</v>
      </c>
      <c r="D10" s="260"/>
      <c r="E10" s="32"/>
      <c r="F10" s="368"/>
      <c r="G10" s="193" t="s">
        <v>180</v>
      </c>
      <c r="H10" s="193">
        <v>1678408</v>
      </c>
      <c r="I10" s="175">
        <v>1430335</v>
      </c>
      <c r="J10" s="175">
        <v>850140</v>
      </c>
      <c r="K10" s="175">
        <v>59816542</v>
      </c>
      <c r="L10" s="175">
        <v>51048268</v>
      </c>
      <c r="M10" s="175"/>
      <c r="N10" s="175"/>
      <c r="O10" s="175"/>
      <c r="P10" s="175"/>
      <c r="Q10" s="175"/>
      <c r="R10" s="175"/>
      <c r="S10" s="175"/>
      <c r="T10" s="175"/>
      <c r="U10" s="175"/>
      <c r="V10" s="175"/>
      <c r="W10" s="175"/>
      <c r="X10" s="175"/>
      <c r="Y10" s="175"/>
      <c r="Z10" s="175"/>
      <c r="AA10" s="175"/>
      <c r="AB10" s="175">
        <f>+H10+J10+L10+N10+P10+R10+T10+V10+X10+Z10</f>
        <v>53576816</v>
      </c>
      <c r="AC10" s="175">
        <f>+I10+K10+M10+O10+Q10+S10+U10+W10+Y10+AA10</f>
        <v>61246877</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86691778</v>
      </c>
      <c r="I12" s="475">
        <v>79429047</v>
      </c>
      <c r="J12" s="475">
        <f>SUM(J9:J11)</f>
        <v>57101988.2</v>
      </c>
      <c r="K12" s="475">
        <f>SUM(K9:K11)</f>
        <v>59816542</v>
      </c>
      <c r="L12" s="476">
        <f>SUM(L9:L11)</f>
        <v>51048268</v>
      </c>
      <c r="M12" s="477"/>
      <c r="N12" s="477"/>
      <c r="O12" s="477"/>
      <c r="P12" s="477"/>
      <c r="Q12" s="477"/>
      <c r="R12" s="477"/>
      <c r="S12" s="477"/>
      <c r="T12" s="477"/>
      <c r="U12" s="477"/>
      <c r="V12" s="477"/>
      <c r="W12" s="477"/>
      <c r="X12" s="477"/>
      <c r="Y12" s="477"/>
      <c r="Z12" s="477"/>
      <c r="AA12" s="477"/>
      <c r="AB12" s="478">
        <f>+H12+J12+L12+N12+P12+R12+T12+V12+X12+Z12</f>
        <v>194842034.2</v>
      </c>
      <c r="AC12" s="479">
        <f>+I12+K12+M12+O12+Q12+S12+U12+W12+Y12+AA12</f>
        <v>139245589</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0</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0</v>
      </c>
      <c r="AC14" s="175">
        <f>I14+K14+M14+O14+Q14+S14+U14+Y14+AA14</f>
        <v>0</v>
      </c>
      <c r="AD14" s="191" t="e">
        <f>#REF!</f>
        <v>#REF!</v>
      </c>
      <c r="AF14" s="192"/>
    </row>
    <row r="15" spans="2:32" ht="15.75">
      <c r="B15" s="32"/>
      <c r="C15" s="249" t="s">
        <v>242</v>
      </c>
      <c r="D15" s="297" t="s">
        <v>361</v>
      </c>
      <c r="E15" s="297"/>
      <c r="F15" s="216"/>
      <c r="G15" s="193" t="s">
        <v>232</v>
      </c>
      <c r="H15" s="193"/>
      <c r="I15" s="175">
        <v>0</v>
      </c>
      <c r="J15" s="175">
        <v>0</v>
      </c>
      <c r="K15" s="175">
        <v>0</v>
      </c>
      <c r="L15" s="175">
        <v>0</v>
      </c>
      <c r="M15" s="175"/>
      <c r="N15" s="175"/>
      <c r="O15" s="175"/>
      <c r="P15" s="175"/>
      <c r="Q15" s="175"/>
      <c r="R15" s="175"/>
      <c r="S15" s="175"/>
      <c r="T15" s="175"/>
      <c r="U15" s="175"/>
      <c r="V15" s="175"/>
      <c r="W15" s="175"/>
      <c r="X15" s="175"/>
      <c r="Y15" s="175"/>
      <c r="Z15" s="175"/>
      <c r="AA15" s="175"/>
      <c r="AB15" s="175">
        <f>+H15+J15+L15+N15+P15+R15+T15+V15+X15+Z15</f>
        <v>0</v>
      </c>
      <c r="AC15" s="175">
        <f>I15+K15+M15+O15+Q15+S15+U15+Y15+AA15+W15</f>
        <v>0</v>
      </c>
      <c r="AD15" s="191">
        <v>7993970783.59</v>
      </c>
      <c r="AF15" s="192"/>
    </row>
    <row r="16" spans="2:32" ht="15.75" customHeight="1">
      <c r="B16" s="32"/>
      <c r="C16" s="249" t="s">
        <v>243</v>
      </c>
      <c r="D16" s="555" t="s">
        <v>374</v>
      </c>
      <c r="E16" s="555"/>
      <c r="F16" s="555"/>
      <c r="G16" s="550" t="s">
        <v>233</v>
      </c>
      <c r="H16" s="550"/>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15772176</v>
      </c>
      <c r="I18" s="175">
        <v>11501103</v>
      </c>
      <c r="J18" s="175">
        <v>10756606</v>
      </c>
      <c r="K18" s="175">
        <v>11940780</v>
      </c>
      <c r="L18" s="175">
        <v>9850020</v>
      </c>
      <c r="M18" s="175"/>
      <c r="N18" s="175"/>
      <c r="O18" s="175"/>
      <c r="P18" s="175"/>
      <c r="Q18" s="175"/>
      <c r="R18" s="175"/>
      <c r="S18" s="175"/>
      <c r="T18" s="175"/>
      <c r="U18" s="175"/>
      <c r="V18" s="175"/>
      <c r="W18" s="175"/>
      <c r="X18" s="175"/>
      <c r="Y18" s="175"/>
      <c r="Z18" s="175"/>
      <c r="AA18" s="175"/>
      <c r="AB18" s="175">
        <f>+H18+J18+L18+N18+P18+R18+T18+V18+X18+Z18</f>
        <v>36378802</v>
      </c>
      <c r="AC18" s="175">
        <f>+I18+K18+M18+O18+Q18+S18+U18+W18+Y18+AA18</f>
        <v>23441883</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1489129</v>
      </c>
      <c r="I20" s="175">
        <v>1280397.5899999999</v>
      </c>
      <c r="J20" s="175">
        <v>1604432</v>
      </c>
      <c r="K20" s="175">
        <v>1280186</v>
      </c>
      <c r="L20" s="175">
        <v>1175969</v>
      </c>
      <c r="M20" s="175"/>
      <c r="N20" s="175"/>
      <c r="O20" s="175"/>
      <c r="P20" s="175"/>
      <c r="Q20" s="175"/>
      <c r="R20" s="175"/>
      <c r="S20" s="175"/>
      <c r="T20" s="175"/>
      <c r="U20" s="175"/>
      <c r="V20" s="175"/>
      <c r="W20" s="175"/>
      <c r="X20" s="175"/>
      <c r="Y20" s="175"/>
      <c r="Z20" s="175"/>
      <c r="AA20" s="175"/>
      <c r="AB20" s="175">
        <f>+H20+J20+L20+N20+P20+R20+T20+V20+X20+Z20</f>
        <v>4269530</v>
      </c>
      <c r="AC20" s="175">
        <f>+I20+K20+M20+O20+Q20+S20+U20+W20+Y20+AA20</f>
        <v>2560583.59</v>
      </c>
      <c r="AD20" s="191">
        <v>15784125.999999998</v>
      </c>
      <c r="AF20" s="192"/>
    </row>
    <row r="21" spans="2:32" ht="15.75">
      <c r="B21" s="176"/>
      <c r="C21" s="249" t="s">
        <v>287</v>
      </c>
      <c r="D21" s="297" t="s">
        <v>365</v>
      </c>
      <c r="F21" s="216"/>
      <c r="G21" s="193" t="s">
        <v>235</v>
      </c>
      <c r="H21" s="193">
        <v>27258643</v>
      </c>
      <c r="I21" s="175">
        <v>29770946</v>
      </c>
      <c r="J21" s="175">
        <v>29719662</v>
      </c>
      <c r="K21" s="175">
        <f>16825938+30631+222328</f>
        <v>17078897</v>
      </c>
      <c r="L21" s="175">
        <f>15563739+42860+14300</f>
        <v>15620899</v>
      </c>
      <c r="M21" s="175"/>
      <c r="N21" s="175"/>
      <c r="O21" s="175"/>
      <c r="P21" s="175"/>
      <c r="Q21" s="175"/>
      <c r="R21" s="175"/>
      <c r="S21" s="175"/>
      <c r="T21" s="175"/>
      <c r="U21" s="175"/>
      <c r="V21" s="175"/>
      <c r="W21" s="175"/>
      <c r="X21" s="175"/>
      <c r="Y21" s="175"/>
      <c r="Z21" s="175"/>
      <c r="AA21" s="175"/>
      <c r="AB21" s="175">
        <f>+H21+J21+L21+N21+P21+R21+T21+V21+X21+Z21</f>
        <v>72599204</v>
      </c>
      <c r="AC21" s="175">
        <f>+I21+K21+M21+O21+Q21+S21+U21+W21+Y21+AA21</f>
        <v>46849843</v>
      </c>
      <c r="AD21" s="175" t="e">
        <f>#REF!</f>
        <v>#REF!</v>
      </c>
      <c r="AF21" s="192"/>
    </row>
    <row r="22" spans="2:29" ht="15.75" customHeight="1">
      <c r="B22" s="176"/>
      <c r="C22" s="249"/>
      <c r="D22" s="297"/>
      <c r="F22" s="216"/>
      <c r="G22" s="193"/>
      <c r="H22" s="193"/>
      <c r="I22" s="175"/>
      <c r="J22" s="175"/>
      <c r="K22" s="194"/>
      <c r="L22" s="194" t="s">
        <v>409</v>
      </c>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44519948</v>
      </c>
      <c r="I23" s="481">
        <v>42552446.59</v>
      </c>
      <c r="J23" s="481">
        <f>SUM(J14:J22)</f>
        <v>42080700</v>
      </c>
      <c r="K23" s="481">
        <f>SUM(K14:K22)</f>
        <v>30299863</v>
      </c>
      <c r="L23" s="482">
        <f>SUM(L15:L22)-1</f>
        <v>26646887</v>
      </c>
      <c r="M23" s="483"/>
      <c r="N23" s="483"/>
      <c r="O23" s="483"/>
      <c r="P23" s="483"/>
      <c r="Q23" s="483"/>
      <c r="R23" s="483"/>
      <c r="S23" s="483"/>
      <c r="T23" s="483"/>
      <c r="U23" s="483"/>
      <c r="V23" s="483"/>
      <c r="W23" s="483"/>
      <c r="X23" s="483"/>
      <c r="Y23" s="483"/>
      <c r="Z23" s="483"/>
      <c r="AA23" s="483"/>
      <c r="AB23" s="478">
        <f>+H23+J23+L23+N23+P23+R23+T23+V23+X23+Z23+1</f>
        <v>113247536</v>
      </c>
      <c r="AC23" s="479">
        <f>+I23+K23+M23+O23+Q23+S23+U23+W23+Y23+AA23</f>
        <v>72852309.59</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42171830</v>
      </c>
      <c r="I25" s="178">
        <v>36876600.41</v>
      </c>
      <c r="J25" s="178">
        <f>+J12-J23</f>
        <v>15021288.200000003</v>
      </c>
      <c r="K25" s="178">
        <f>+K12-K23</f>
        <v>29516679</v>
      </c>
      <c r="L25" s="178">
        <f>+L12-L23</f>
        <v>24401381</v>
      </c>
      <c r="M25" s="178"/>
      <c r="N25" s="178"/>
      <c r="O25" s="178"/>
      <c r="P25" s="178"/>
      <c r="Q25" s="178"/>
      <c r="R25" s="178"/>
      <c r="S25" s="178"/>
      <c r="T25" s="178"/>
      <c r="U25" s="178"/>
      <c r="V25" s="178"/>
      <c r="W25" s="178"/>
      <c r="X25" s="178"/>
      <c r="Y25" s="178"/>
      <c r="Z25" s="178"/>
      <c r="AA25" s="178"/>
      <c r="AB25" s="175">
        <f>+H25+J25+L25+N25+P25+R25+T25+V25+X25+Z25</f>
        <v>81594499.2</v>
      </c>
      <c r="AC25" s="175">
        <f>+I25+K25+M25+O25+Q25+S25+U25+W25+Y25+AA25</f>
        <v>66393279.41</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42171830</v>
      </c>
      <c r="I28" s="180">
        <v>36876600.41</v>
      </c>
      <c r="J28" s="180">
        <f>+J25-J27</f>
        <v>15021288.200000003</v>
      </c>
      <c r="K28" s="180">
        <f>+K25-K27</f>
        <v>29516679</v>
      </c>
      <c r="L28" s="180">
        <f>+L25-L27</f>
        <v>24401381</v>
      </c>
      <c r="M28" s="180"/>
      <c r="N28" s="180"/>
      <c r="O28" s="180"/>
      <c r="P28" s="180"/>
      <c r="Q28" s="180"/>
      <c r="R28" s="180"/>
      <c r="S28" s="180"/>
      <c r="T28" s="180"/>
      <c r="U28" s="180"/>
      <c r="V28" s="180"/>
      <c r="W28" s="180"/>
      <c r="X28" s="180"/>
      <c r="Y28" s="180"/>
      <c r="Z28" s="180"/>
      <c r="AA28" s="180"/>
      <c r="AB28" s="175">
        <f>+H28+J28+L28+N28+P28+R28+T28+V28+X28+Z28</f>
        <v>81594499.2</v>
      </c>
      <c r="AC28" s="175">
        <f>+I28+K28+M28+O28+Q28+S28+U28+W28+Y28+AA28</f>
        <v>66393279.41</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42171830</v>
      </c>
      <c r="I30" s="487">
        <v>36876600.41</v>
      </c>
      <c r="J30" s="487">
        <f>+J28-J29</f>
        <v>15021288.200000003</v>
      </c>
      <c r="K30" s="487">
        <f>+K28-K29</f>
        <v>29516679</v>
      </c>
      <c r="L30" s="487">
        <f>+L28-L29</f>
        <v>24401381</v>
      </c>
      <c r="M30" s="487"/>
      <c r="N30" s="487"/>
      <c r="O30" s="487"/>
      <c r="P30" s="487"/>
      <c r="Q30" s="487"/>
      <c r="R30" s="487"/>
      <c r="S30" s="487"/>
      <c r="T30" s="487"/>
      <c r="U30" s="487"/>
      <c r="V30" s="487"/>
      <c r="W30" s="487"/>
      <c r="X30" s="487"/>
      <c r="Y30" s="487"/>
      <c r="Z30" s="487"/>
      <c r="AA30" s="487"/>
      <c r="AB30" s="175">
        <f>+H30+J30+L30+N30+P30+R30+T30+V30+X30+Z30</f>
        <v>81594499.2</v>
      </c>
      <c r="AC30" s="175">
        <f>+I30+K30+M30+O30+Q30+S30+U30+W30+Y30+AA30</f>
        <v>66393279.41</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v>0</v>
      </c>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42171830</v>
      </c>
      <c r="I37" s="487">
        <v>36876600.41</v>
      </c>
      <c r="J37" s="487">
        <f>+J30-J35</f>
        <v>15021288.200000003</v>
      </c>
      <c r="K37" s="487">
        <f>+K30-K35</f>
        <v>29516679</v>
      </c>
      <c r="L37" s="487">
        <f>+L30-L35</f>
        <v>24401381</v>
      </c>
      <c r="M37" s="487"/>
      <c r="N37" s="487"/>
      <c r="O37" s="487"/>
      <c r="P37" s="487"/>
      <c r="Q37" s="487"/>
      <c r="R37" s="487"/>
      <c r="S37" s="487"/>
      <c r="T37" s="487"/>
      <c r="U37" s="487"/>
      <c r="V37" s="487"/>
      <c r="W37" s="487"/>
      <c r="X37" s="487"/>
      <c r="Y37" s="487"/>
      <c r="Z37" s="487"/>
      <c r="AA37" s="487"/>
      <c r="AB37" s="175">
        <f>+H37+J37+L37+N37+P37+R37+T37+V37+X37+Z37</f>
        <v>81594499.2</v>
      </c>
      <c r="AC37" s="175">
        <f>+I37+K37+M37+O37+Q37+S37+U37+W37+Y37+AA37</f>
        <v>66393279.41</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42171830</v>
      </c>
      <c r="I41" s="200">
        <v>36876600.41</v>
      </c>
      <c r="J41" s="200">
        <f>+J37+J40</f>
        <v>15021288.200000003</v>
      </c>
      <c r="K41" s="200">
        <f>+K37+K40</f>
        <v>29516679</v>
      </c>
      <c r="L41" s="384">
        <f>+L37+L40</f>
        <v>24401381</v>
      </c>
      <c r="M41" s="399"/>
      <c r="N41" s="399"/>
      <c r="O41" s="399"/>
      <c r="P41" s="399"/>
      <c r="Q41" s="399"/>
      <c r="R41" s="399"/>
      <c r="S41" s="399"/>
      <c r="T41" s="399"/>
      <c r="U41" s="399"/>
      <c r="V41" s="399"/>
      <c r="W41" s="399"/>
      <c r="X41" s="399"/>
      <c r="Y41" s="399"/>
      <c r="Z41" s="399"/>
      <c r="AA41" s="399"/>
      <c r="AB41" s="491">
        <f>+H41+J41+L41+N41+P41+R41+T41+V41+X41+Z41</f>
        <v>81594499.2</v>
      </c>
      <c r="AC41" s="492">
        <f>+I41+K41+M41+O41+Q41+S41+U41+W41+Y41+AA41</f>
        <v>66393279.41</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K16:K17"/>
    <mergeCell ref="J16:J17"/>
    <mergeCell ref="I16:I17"/>
    <mergeCell ref="H16:H17"/>
    <mergeCell ref="Q16:Q17"/>
    <mergeCell ref="O16:O17"/>
    <mergeCell ref="M16:M17"/>
    <mergeCell ref="L16:L17"/>
    <mergeCell ref="AD16:AD17"/>
    <mergeCell ref="AC16:AC17"/>
    <mergeCell ref="AA16:AA17"/>
    <mergeCell ref="Y16:Y17"/>
    <mergeCell ref="V16:V17"/>
    <mergeCell ref="X16:X17"/>
    <mergeCell ref="Z16:Z17"/>
    <mergeCell ref="N16:N17"/>
    <mergeCell ref="P16:P17"/>
    <mergeCell ref="R16:R17"/>
    <mergeCell ref="T16:T17"/>
    <mergeCell ref="W16:W17"/>
    <mergeCell ref="U16:U17"/>
    <mergeCell ref="S16:S17"/>
    <mergeCell ref="B8:F8"/>
    <mergeCell ref="B47:F48"/>
    <mergeCell ref="G47:G48"/>
    <mergeCell ref="D16:F17"/>
    <mergeCell ref="G16:G17"/>
  </mergeCells>
  <printOptions horizontalCentered="1"/>
  <pageMargins left="0.3" right="0.55" top="0.66" bottom="0.5" header="0" footer="0"/>
  <pageSetup fitToHeight="1" fitToWidth="1" horizontalDpi="600" verticalDpi="600" orientation="landscape" paperSize="5" scale="71" r:id="rId1"/>
</worksheet>
</file>

<file path=xl/worksheets/sheet8.xml><?xml version="1.0" encoding="utf-8"?>
<worksheet xmlns="http://schemas.openxmlformats.org/spreadsheetml/2006/main" xmlns:r="http://schemas.openxmlformats.org/officeDocument/2006/relationships">
  <sheetPr>
    <tabColor indexed="34"/>
    <pageSetUpPr fitToPage="1"/>
  </sheetPr>
  <dimension ref="A1:AH79"/>
  <sheetViews>
    <sheetView zoomScaleSheetLayoutView="100" workbookViewId="0" topLeftCell="D1">
      <selection activeCell="J5" sqref="J5:J6"/>
    </sheetView>
  </sheetViews>
  <sheetFormatPr defaultColWidth="9.140625" defaultRowHeight="15"/>
  <cols>
    <col min="1" max="1" width="2.8515625" style="261" customWidth="1"/>
    <col min="2" max="2" width="4.00390625" style="261" customWidth="1"/>
    <col min="3" max="3" width="4.00390625" style="262" customWidth="1"/>
    <col min="4" max="6" width="4.00390625" style="261" customWidth="1"/>
    <col min="7" max="7" width="41.140625" style="261" customWidth="1"/>
    <col min="8" max="8" width="14.421875" style="263" customWidth="1"/>
    <col min="9" max="9" width="13.28125" style="263" customWidth="1"/>
    <col min="10" max="11" width="13.7109375" style="184" customWidth="1"/>
    <col min="12" max="12" width="14.7109375" style="185" hidden="1" customWidth="1"/>
    <col min="13" max="13" width="14.7109375" style="185" customWidth="1"/>
    <col min="14" max="14" width="14.28125" style="261" hidden="1" customWidth="1"/>
    <col min="15" max="15" width="14.28125" style="261" customWidth="1"/>
    <col min="16" max="16" width="12.57421875" style="261" hidden="1" customWidth="1"/>
    <col min="17" max="17" width="15.7109375" style="261" customWidth="1"/>
    <col min="18" max="18" width="16.421875" style="261" hidden="1" customWidth="1"/>
    <col min="19" max="19" width="16.421875" style="261" customWidth="1"/>
    <col min="20" max="20" width="13.7109375" style="261" hidden="1" customWidth="1"/>
    <col min="21" max="21" width="13.7109375" style="261" customWidth="1"/>
    <col min="22" max="22" width="12.7109375" style="261" hidden="1" customWidth="1"/>
    <col min="23" max="23" width="12.7109375" style="261" customWidth="1"/>
    <col min="24" max="24" width="13.140625" style="261" hidden="1" customWidth="1"/>
    <col min="25" max="25" width="15.7109375" style="261" customWidth="1"/>
    <col min="26" max="26" width="16.57421875" style="261" hidden="1" customWidth="1"/>
    <col min="27" max="27" width="15.00390625" style="261" customWidth="1"/>
    <col min="28" max="28" width="14.7109375" style="261" hidden="1" customWidth="1"/>
    <col min="29" max="29" width="16.57421875" style="261" customWidth="1"/>
    <col min="30" max="30" width="16.28125" style="261" hidden="1" customWidth="1"/>
    <col min="31" max="31" width="19.57421875" style="261" hidden="1" customWidth="1"/>
    <col min="32" max="32" width="6.57421875" style="261" customWidth="1"/>
    <col min="33" max="16384" width="9.140625" style="261" customWidth="1"/>
  </cols>
  <sheetData>
    <row r="1" ht="12.75">
      <c r="R1" s="261" t="s">
        <v>181</v>
      </c>
    </row>
    <row r="2" spans="2:27" ht="12.75">
      <c r="B2" s="264" t="s">
        <v>184</v>
      </c>
      <c r="Q2" s="391"/>
      <c r="R2" s="391"/>
      <c r="S2" s="391"/>
      <c r="T2" s="391"/>
      <c r="U2" s="391"/>
      <c r="V2" s="391"/>
      <c r="W2" s="391"/>
      <c r="X2" s="391"/>
      <c r="Y2" s="391"/>
      <c r="Z2" s="391"/>
      <c r="AA2" s="391"/>
    </row>
    <row r="3" spans="2:27" ht="12.75">
      <c r="B3" s="264" t="s">
        <v>328</v>
      </c>
      <c r="I3" s="270"/>
      <c r="K3" s="187"/>
      <c r="M3" s="186"/>
      <c r="O3" s="264"/>
      <c r="Q3" s="395"/>
      <c r="R3" s="391"/>
      <c r="S3" s="395"/>
      <c r="T3" s="395"/>
      <c r="U3" s="395"/>
      <c r="V3" s="395"/>
      <c r="W3" s="391"/>
      <c r="X3" s="391"/>
      <c r="Y3" s="395"/>
      <c r="Z3" s="391"/>
      <c r="AA3" s="395"/>
    </row>
    <row r="4" spans="2:30" ht="12.75">
      <c r="B4" s="264"/>
      <c r="I4" s="270" t="s">
        <v>325</v>
      </c>
      <c r="J4" s="187" t="s">
        <v>324</v>
      </c>
      <c r="K4" s="270" t="s">
        <v>399</v>
      </c>
      <c r="L4" s="187" t="s">
        <v>324</v>
      </c>
      <c r="M4" s="187" t="s">
        <v>400</v>
      </c>
      <c r="N4" s="264" t="s">
        <v>324</v>
      </c>
      <c r="O4" s="187" t="s">
        <v>401</v>
      </c>
      <c r="P4" s="264" t="s">
        <v>324</v>
      </c>
      <c r="Q4" s="409"/>
      <c r="R4" s="395"/>
      <c r="S4" s="409"/>
      <c r="T4" s="395"/>
      <c r="U4" s="395"/>
      <c r="V4" s="395"/>
      <c r="W4" s="395"/>
      <c r="X4" s="395"/>
      <c r="Y4" s="395"/>
      <c r="Z4" s="395"/>
      <c r="AA4" s="395"/>
      <c r="AB4" s="264" t="s">
        <v>300</v>
      </c>
      <c r="AC4" s="271"/>
      <c r="AD4" s="422"/>
    </row>
    <row r="5" spans="2:31" ht="15" customHeight="1">
      <c r="B5" s="273" t="s">
        <v>216</v>
      </c>
      <c r="C5" s="274"/>
      <c r="D5" s="274"/>
      <c r="E5" s="274"/>
      <c r="F5" s="274"/>
      <c r="G5" s="274"/>
      <c r="H5" s="275" t="s">
        <v>388</v>
      </c>
      <c r="I5" s="526" t="s">
        <v>205</v>
      </c>
      <c r="J5" s="526" t="s">
        <v>205</v>
      </c>
      <c r="K5" s="526" t="s">
        <v>205</v>
      </c>
      <c r="L5" s="556" t="s">
        <v>205</v>
      </c>
      <c r="M5" s="526" t="s">
        <v>205</v>
      </c>
      <c r="N5" s="556" t="s">
        <v>205</v>
      </c>
      <c r="O5" s="526" t="s">
        <v>205</v>
      </c>
      <c r="P5" s="556" t="s">
        <v>205</v>
      </c>
      <c r="Q5" s="423"/>
      <c r="R5" s="423"/>
      <c r="S5" s="424"/>
      <c r="T5" s="424"/>
      <c r="U5" s="424"/>
      <c r="V5" s="424"/>
      <c r="W5" s="424"/>
      <c r="X5" s="424"/>
      <c r="Y5" s="424"/>
      <c r="Z5" s="424"/>
      <c r="AA5" s="424"/>
      <c r="AB5" s="425" t="s">
        <v>387</v>
      </c>
      <c r="AC5" s="278" t="s">
        <v>327</v>
      </c>
      <c r="AD5" s="278" t="s">
        <v>185</v>
      </c>
      <c r="AE5" s="279" t="s">
        <v>186</v>
      </c>
    </row>
    <row r="6" spans="2:31" ht="15" customHeight="1">
      <c r="B6" s="280"/>
      <c r="C6" s="281"/>
      <c r="D6" s="281"/>
      <c r="E6" s="281"/>
      <c r="F6" s="281"/>
      <c r="G6" s="281"/>
      <c r="H6" s="282"/>
      <c r="I6" s="527"/>
      <c r="J6" s="527"/>
      <c r="K6" s="527"/>
      <c r="L6" s="525"/>
      <c r="M6" s="527"/>
      <c r="N6" s="525"/>
      <c r="O6" s="527"/>
      <c r="P6" s="557"/>
      <c r="Q6" s="427"/>
      <c r="R6" s="427"/>
      <c r="S6" s="428"/>
      <c r="T6" s="428"/>
      <c r="U6" s="428"/>
      <c r="V6" s="428"/>
      <c r="W6" s="428"/>
      <c r="X6" s="428"/>
      <c r="Y6" s="428"/>
      <c r="Z6" s="428"/>
      <c r="AA6" s="428"/>
      <c r="AB6" s="429"/>
      <c r="AC6" s="244" t="s">
        <v>187</v>
      </c>
      <c r="AD6" s="244" t="s">
        <v>187</v>
      </c>
      <c r="AE6" s="284" t="s">
        <v>187</v>
      </c>
    </row>
    <row r="7" spans="2:29" ht="15">
      <c r="B7" s="285" t="s">
        <v>221</v>
      </c>
      <c r="C7" s="286" t="s">
        <v>239</v>
      </c>
      <c r="D7" s="176"/>
      <c r="E7" s="176"/>
      <c r="F7" s="176"/>
      <c r="G7" s="287"/>
      <c r="H7" s="347"/>
      <c r="I7" s="347"/>
      <c r="J7" s="430"/>
      <c r="K7" s="430"/>
      <c r="L7" s="431"/>
      <c r="M7" s="431"/>
      <c r="N7" s="430"/>
      <c r="O7" s="430"/>
      <c r="P7" s="431"/>
      <c r="Q7" s="431"/>
      <c r="R7" s="430"/>
      <c r="S7" s="430"/>
      <c r="T7" s="431"/>
      <c r="U7" s="431"/>
      <c r="V7" s="430"/>
      <c r="W7" s="430"/>
      <c r="X7" s="431"/>
      <c r="Y7" s="431"/>
      <c r="Z7" s="430"/>
      <c r="AA7" s="430"/>
      <c r="AB7" s="431"/>
      <c r="AC7" s="431"/>
    </row>
    <row r="8" spans="2:29" ht="15">
      <c r="B8" s="291"/>
      <c r="C8" s="246">
        <v>-1</v>
      </c>
      <c r="D8" s="176" t="s">
        <v>331</v>
      </c>
      <c r="E8" s="291"/>
      <c r="F8" s="291"/>
      <c r="G8" s="316"/>
      <c r="H8" s="347"/>
      <c r="I8" s="347"/>
      <c r="J8" s="432"/>
      <c r="K8" s="432"/>
      <c r="L8" s="433"/>
      <c r="M8" s="433"/>
      <c r="N8" s="432"/>
      <c r="O8" s="432"/>
      <c r="P8" s="433"/>
      <c r="Q8" s="433"/>
      <c r="R8" s="432"/>
      <c r="S8" s="432"/>
      <c r="T8" s="433"/>
      <c r="U8" s="433"/>
      <c r="V8" s="432"/>
      <c r="W8" s="432"/>
      <c r="X8" s="433"/>
      <c r="Y8" s="433"/>
      <c r="Z8" s="432"/>
      <c r="AA8" s="432"/>
      <c r="AB8" s="433"/>
      <c r="AC8" s="433"/>
    </row>
    <row r="9" spans="2:31" ht="15.75">
      <c r="B9" s="291"/>
      <c r="C9" s="296"/>
      <c r="D9" s="291" t="s">
        <v>241</v>
      </c>
      <c r="E9" s="297" t="s">
        <v>332</v>
      </c>
      <c r="F9" s="297"/>
      <c r="G9" s="297"/>
      <c r="H9" s="298" t="s">
        <v>146</v>
      </c>
      <c r="I9" s="298"/>
      <c r="J9" s="434">
        <v>0</v>
      </c>
      <c r="K9" s="434"/>
      <c r="L9" s="434">
        <v>0</v>
      </c>
      <c r="M9" s="434"/>
      <c r="N9" s="434">
        <v>0</v>
      </c>
      <c r="O9" s="434"/>
      <c r="P9" s="434">
        <v>0</v>
      </c>
      <c r="Q9" s="434"/>
      <c r="R9" s="434"/>
      <c r="S9" s="434"/>
      <c r="T9" s="434"/>
      <c r="U9" s="434"/>
      <c r="V9" s="434"/>
      <c r="W9" s="434"/>
      <c r="X9" s="434"/>
      <c r="Y9" s="434"/>
      <c r="Z9" s="434"/>
      <c r="AA9" s="434"/>
      <c r="AB9" s="434">
        <v>0</v>
      </c>
      <c r="AC9" s="434">
        <f>I9+K9+M9+O9+Q9+S9+U9+Y9+AA9+W9</f>
        <v>0</v>
      </c>
      <c r="AD9" s="434">
        <f>J9+L9+N9+P9+R9+T9+V9+Z9+AB9+X9</f>
        <v>0</v>
      </c>
      <c r="AE9" s="349">
        <v>62825100</v>
      </c>
    </row>
    <row r="10" spans="2:32" ht="15.75">
      <c r="B10" s="291"/>
      <c r="C10" s="296"/>
      <c r="D10" s="291" t="s">
        <v>242</v>
      </c>
      <c r="E10" s="297" t="s">
        <v>333</v>
      </c>
      <c r="F10" s="297"/>
      <c r="G10" s="297"/>
      <c r="H10" s="298" t="s">
        <v>147</v>
      </c>
      <c r="I10" s="298">
        <v>314104092</v>
      </c>
      <c r="J10" s="434">
        <v>271932262.28999996</v>
      </c>
      <c r="K10" s="434">
        <v>235055662.2</v>
      </c>
      <c r="L10" s="434" t="e">
        <f>#REF!</f>
        <v>#REF!</v>
      </c>
      <c r="M10" s="434">
        <v>220034374</v>
      </c>
      <c r="N10" s="434" t="e">
        <f>#REF!</f>
        <v>#REF!</v>
      </c>
      <c r="O10" s="434">
        <v>190517695</v>
      </c>
      <c r="P10" s="434" t="e">
        <f>#REF!</f>
        <v>#REF!</v>
      </c>
      <c r="Q10" s="434"/>
      <c r="R10" s="434"/>
      <c r="S10" s="434"/>
      <c r="T10" s="434"/>
      <c r="U10" s="434"/>
      <c r="V10" s="434"/>
      <c r="W10" s="434"/>
      <c r="X10" s="434"/>
      <c r="Y10" s="434"/>
      <c r="Z10" s="434"/>
      <c r="AA10" s="434"/>
      <c r="AB10" s="434" t="e">
        <f>#REF!</f>
        <v>#REF!</v>
      </c>
      <c r="AC10" s="434">
        <f>I10+K10+M10+O10+Q10+S10+U10+Y10+AA10+W10+1</f>
        <v>959711824.2</v>
      </c>
      <c r="AD10" s="434" t="e">
        <f>J10+L10+N10+P10+R10+T10+V10+Z10+AB10+X10</f>
        <v>#REF!</v>
      </c>
      <c r="AE10" s="349" t="e">
        <f>#REF!</f>
        <v>#REF!</v>
      </c>
      <c r="AF10" s="185"/>
    </row>
    <row r="11" spans="2:32" ht="15.75">
      <c r="B11" s="291"/>
      <c r="C11" s="435"/>
      <c r="D11" s="296"/>
      <c r="E11" s="291"/>
      <c r="F11" s="291"/>
      <c r="G11" s="311" t="s">
        <v>389</v>
      </c>
      <c r="H11" s="347"/>
      <c r="I11" s="174">
        <v>314104092</v>
      </c>
      <c r="J11" s="174">
        <v>271932262.28999996</v>
      </c>
      <c r="K11" s="174">
        <f>SUM(K9:K10)</f>
        <v>235055662.2</v>
      </c>
      <c r="L11" s="174" t="e">
        <f>SUM(L9:L10)</f>
        <v>#REF!</v>
      </c>
      <c r="M11" s="174">
        <f>+M9+M10</f>
        <v>220034374</v>
      </c>
      <c r="N11" s="174" t="e">
        <f>+N9+N10</f>
        <v>#REF!</v>
      </c>
      <c r="O11" s="174">
        <f>SUM(O9:O10)</f>
        <v>190517695</v>
      </c>
      <c r="P11" s="436" t="e">
        <f>SUM(P9:P10)</f>
        <v>#REF!</v>
      </c>
      <c r="Q11" s="416"/>
      <c r="R11" s="416"/>
      <c r="S11" s="416"/>
      <c r="T11" s="416"/>
      <c r="U11" s="416"/>
      <c r="V11" s="416"/>
      <c r="W11" s="416"/>
      <c r="X11" s="416"/>
      <c r="Y11" s="416"/>
      <c r="Z11" s="416"/>
      <c r="AA11" s="416"/>
      <c r="AB11" s="437" t="e">
        <f>+AB9+AB10</f>
        <v>#REF!</v>
      </c>
      <c r="AC11" s="438">
        <f>I11+K11+M11+O11+Q11+S11+U11+Y11+AA11+W11+1</f>
        <v>959711824.2</v>
      </c>
      <c r="AD11" s="439" t="e">
        <f>J11+L11+N11+P11+R11+T11+V11+Z11+AB11+X11</f>
        <v>#REF!</v>
      </c>
      <c r="AE11" s="308" t="e">
        <f>+AE9+AE10</f>
        <v>#REF!</v>
      </c>
      <c r="AF11" s="186"/>
    </row>
    <row r="12" spans="2:31" ht="15.75" hidden="1">
      <c r="B12" s="291"/>
      <c r="C12" s="250">
        <v>-2</v>
      </c>
      <c r="D12" s="32" t="s">
        <v>247</v>
      </c>
      <c r="E12" s="32"/>
      <c r="F12" s="297"/>
      <c r="G12" s="316"/>
      <c r="H12" s="347"/>
      <c r="I12" s="347"/>
      <c r="J12" s="434"/>
      <c r="K12" s="434"/>
      <c r="L12" s="434">
        <v>0</v>
      </c>
      <c r="M12" s="434"/>
      <c r="N12" s="434"/>
      <c r="O12" s="434"/>
      <c r="P12" s="434"/>
      <c r="Q12" s="434"/>
      <c r="R12" s="434"/>
      <c r="S12" s="434"/>
      <c r="T12" s="434"/>
      <c r="U12" s="434"/>
      <c r="V12" s="434"/>
      <c r="W12" s="434"/>
      <c r="X12" s="434"/>
      <c r="Y12" s="434"/>
      <c r="Z12" s="434"/>
      <c r="AA12" s="434"/>
      <c r="AB12" s="434"/>
      <c r="AC12" s="434"/>
      <c r="AD12" s="434">
        <v>0</v>
      </c>
      <c r="AE12" s="349">
        <v>0</v>
      </c>
    </row>
    <row r="13" spans="2:31" ht="15.75" hidden="1">
      <c r="B13" s="291"/>
      <c r="C13" s="296"/>
      <c r="D13" s="291"/>
      <c r="E13" s="291"/>
      <c r="F13" s="291"/>
      <c r="G13" s="311" t="s">
        <v>294</v>
      </c>
      <c r="H13" s="347"/>
      <c r="I13" s="347"/>
      <c r="J13" s="332"/>
      <c r="K13" s="332"/>
      <c r="L13" s="332">
        <f>SUM(L12)</f>
        <v>0</v>
      </c>
      <c r="M13" s="332"/>
      <c r="N13" s="332"/>
      <c r="O13" s="332"/>
      <c r="P13" s="332"/>
      <c r="Q13" s="332"/>
      <c r="R13" s="332"/>
      <c r="S13" s="332"/>
      <c r="T13" s="332"/>
      <c r="U13" s="332"/>
      <c r="V13" s="332"/>
      <c r="W13" s="332"/>
      <c r="X13" s="332"/>
      <c r="Y13" s="332"/>
      <c r="Z13" s="332"/>
      <c r="AA13" s="332"/>
      <c r="AB13" s="332"/>
      <c r="AC13" s="332"/>
      <c r="AD13" s="440">
        <v>0</v>
      </c>
      <c r="AE13" s="441">
        <v>0</v>
      </c>
    </row>
    <row r="14" spans="2:31" ht="15.75">
      <c r="B14" s="291"/>
      <c r="C14" s="250">
        <v>-2</v>
      </c>
      <c r="D14" s="32" t="s">
        <v>334</v>
      </c>
      <c r="E14" s="32"/>
      <c r="F14" s="297"/>
      <c r="G14" s="316"/>
      <c r="H14" s="347"/>
      <c r="I14" s="347"/>
      <c r="J14" s="434"/>
      <c r="K14" s="434"/>
      <c r="L14" s="434"/>
      <c r="M14" s="434"/>
      <c r="N14" s="434"/>
      <c r="O14" s="434"/>
      <c r="P14" s="434"/>
      <c r="Q14" s="434"/>
      <c r="R14" s="434"/>
      <c r="S14" s="434"/>
      <c r="T14" s="434"/>
      <c r="U14" s="434"/>
      <c r="V14" s="434"/>
      <c r="W14" s="434"/>
      <c r="X14" s="434"/>
      <c r="Y14" s="434"/>
      <c r="Z14" s="434"/>
      <c r="AA14" s="434"/>
      <c r="AB14" s="434"/>
      <c r="AC14" s="434"/>
      <c r="AD14" s="434"/>
      <c r="AE14" s="349"/>
    </row>
    <row r="15" spans="2:31" ht="15.75" hidden="1">
      <c r="B15" s="291"/>
      <c r="C15" s="297"/>
      <c r="D15" s="249" t="s">
        <v>241</v>
      </c>
      <c r="E15" s="297" t="s">
        <v>249</v>
      </c>
      <c r="F15" s="297"/>
      <c r="G15" s="442"/>
      <c r="H15" s="347" t="s">
        <v>165</v>
      </c>
      <c r="I15" s="347"/>
      <c r="J15" s="434">
        <v>0</v>
      </c>
      <c r="K15" s="434"/>
      <c r="L15" s="434">
        <f>'NOTE 1'!Q27</f>
        <v>0</v>
      </c>
      <c r="M15" s="434"/>
      <c r="N15" s="434">
        <f>'NOTE 1'!U27</f>
        <v>0</v>
      </c>
      <c r="O15" s="434"/>
      <c r="P15" s="434">
        <f>'NOTE 1'!Y27</f>
        <v>0</v>
      </c>
      <c r="Q15" s="434"/>
      <c r="R15" s="434"/>
      <c r="S15" s="434"/>
      <c r="T15" s="434"/>
      <c r="U15" s="434"/>
      <c r="V15" s="434"/>
      <c r="W15" s="434"/>
      <c r="X15" s="434"/>
      <c r="Y15" s="434"/>
      <c r="Z15" s="434"/>
      <c r="AA15" s="434"/>
      <c r="AB15" s="434">
        <f>'NOTE 1'!AW27</f>
        <v>0</v>
      </c>
      <c r="AC15" s="434"/>
      <c r="AD15" s="434">
        <f>SUM(J15:AB15)</f>
        <v>0</v>
      </c>
      <c r="AE15" s="349">
        <v>0</v>
      </c>
    </row>
    <row r="16" spans="2:31" ht="15.75">
      <c r="B16" s="291"/>
      <c r="C16" s="297"/>
      <c r="D16" s="249" t="s">
        <v>241</v>
      </c>
      <c r="E16" s="297" t="s">
        <v>335</v>
      </c>
      <c r="F16" s="297"/>
      <c r="G16" s="442"/>
      <c r="H16" s="347"/>
      <c r="I16" s="347"/>
      <c r="J16" s="434">
        <v>0</v>
      </c>
      <c r="K16" s="434"/>
      <c r="L16" s="434">
        <v>0</v>
      </c>
      <c r="M16" s="434"/>
      <c r="N16" s="434"/>
      <c r="O16" s="434"/>
      <c r="P16" s="434">
        <f>'NOTE 1'!Y27</f>
        <v>0</v>
      </c>
      <c r="Q16" s="434"/>
      <c r="R16" s="434"/>
      <c r="S16" s="434"/>
      <c r="T16" s="434"/>
      <c r="U16" s="434"/>
      <c r="V16" s="434"/>
      <c r="W16" s="434"/>
      <c r="X16" s="434"/>
      <c r="Y16" s="434"/>
      <c r="Z16" s="443"/>
      <c r="AA16" s="443"/>
      <c r="AB16" s="434"/>
      <c r="AC16" s="434">
        <f aca="true" t="shared" si="0" ref="AC16:AD19">I16+K16+M16+O16+Q16+S16+U16+Y16+AA16+W16</f>
        <v>0</v>
      </c>
      <c r="AD16" s="434">
        <f t="shared" si="0"/>
        <v>0</v>
      </c>
      <c r="AE16" s="349">
        <v>42845807</v>
      </c>
    </row>
    <row r="17" spans="2:31" ht="15.75">
      <c r="B17" s="291"/>
      <c r="C17" s="297"/>
      <c r="D17" s="249" t="s">
        <v>242</v>
      </c>
      <c r="E17" s="297" t="s">
        <v>336</v>
      </c>
      <c r="F17" s="297"/>
      <c r="G17" s="442"/>
      <c r="H17" s="347" t="s">
        <v>165</v>
      </c>
      <c r="I17" s="347">
        <v>5413929</v>
      </c>
      <c r="J17" s="434">
        <v>6386071.6</v>
      </c>
      <c r="K17" s="434">
        <v>4958326.09</v>
      </c>
      <c r="L17" s="434" t="e">
        <f>#REF!</f>
        <v>#REF!</v>
      </c>
      <c r="M17" s="434">
        <v>0</v>
      </c>
      <c r="N17" s="434" t="e">
        <f>#REF!</f>
        <v>#REF!</v>
      </c>
      <c r="O17" s="434">
        <v>0</v>
      </c>
      <c r="P17" s="434" t="e">
        <f>#REF!</f>
        <v>#REF!</v>
      </c>
      <c r="Q17" s="434"/>
      <c r="R17" s="434"/>
      <c r="S17" s="434"/>
      <c r="T17" s="434"/>
      <c r="U17" s="434"/>
      <c r="V17" s="434"/>
      <c r="W17" s="434"/>
      <c r="X17" s="434"/>
      <c r="Y17" s="434"/>
      <c r="Z17" s="434"/>
      <c r="AA17" s="434"/>
      <c r="AB17" s="434" t="e">
        <f>#REF!</f>
        <v>#REF!</v>
      </c>
      <c r="AC17" s="434">
        <f t="shared" si="0"/>
        <v>10372255.09</v>
      </c>
      <c r="AD17" s="434" t="e">
        <f t="shared" si="0"/>
        <v>#REF!</v>
      </c>
      <c r="AE17" s="349" t="e">
        <f>#REF!</f>
        <v>#REF!</v>
      </c>
    </row>
    <row r="18" spans="2:31" ht="15.75">
      <c r="B18" s="291"/>
      <c r="C18" s="297"/>
      <c r="D18" s="249" t="s">
        <v>243</v>
      </c>
      <c r="E18" s="297" t="s">
        <v>314</v>
      </c>
      <c r="F18" s="297"/>
      <c r="G18" s="442"/>
      <c r="H18" s="347" t="s">
        <v>166</v>
      </c>
      <c r="I18" s="347"/>
      <c r="J18" s="434">
        <v>0</v>
      </c>
      <c r="K18" s="434"/>
      <c r="L18" s="434" t="e">
        <f>#REF!</f>
        <v>#REF!</v>
      </c>
      <c r="M18" s="434"/>
      <c r="N18" s="434" t="e">
        <f>#REF!</f>
        <v>#REF!</v>
      </c>
      <c r="O18" s="434"/>
      <c r="P18" s="434" t="e">
        <f>#REF!</f>
        <v>#REF!</v>
      </c>
      <c r="Q18" s="434"/>
      <c r="R18" s="434"/>
      <c r="S18" s="434"/>
      <c r="T18" s="434"/>
      <c r="U18" s="434"/>
      <c r="V18" s="434"/>
      <c r="W18" s="434"/>
      <c r="X18" s="434"/>
      <c r="Y18" s="434"/>
      <c r="Z18" s="434"/>
      <c r="AA18" s="434"/>
      <c r="AB18" s="434" t="e">
        <f>#REF!</f>
        <v>#REF!</v>
      </c>
      <c r="AC18" s="434">
        <f t="shared" si="0"/>
        <v>0</v>
      </c>
      <c r="AD18" s="434" t="e">
        <f t="shared" si="0"/>
        <v>#REF!</v>
      </c>
      <c r="AE18" s="349" t="e">
        <f>#REF!</f>
        <v>#REF!</v>
      </c>
    </row>
    <row r="19" spans="2:32" ht="15.75">
      <c r="B19" s="291"/>
      <c r="C19" s="296"/>
      <c r="D19" s="291"/>
      <c r="E19" s="291"/>
      <c r="F19" s="291"/>
      <c r="G19" s="311" t="s">
        <v>390</v>
      </c>
      <c r="H19" s="347"/>
      <c r="I19" s="174">
        <v>5413929</v>
      </c>
      <c r="J19" s="174">
        <v>6386071.6</v>
      </c>
      <c r="K19" s="174">
        <f>SUM(K15:K18)</f>
        <v>4958326.09</v>
      </c>
      <c r="L19" s="174" t="e">
        <f>SUM(L15:L18)</f>
        <v>#REF!</v>
      </c>
      <c r="M19" s="174">
        <f>SUM(M15:M18)</f>
        <v>0</v>
      </c>
      <c r="N19" s="174" t="e">
        <f>SUM(N15:N18)</f>
        <v>#REF!</v>
      </c>
      <c r="O19" s="174">
        <f>SUM(O17:O18)</f>
        <v>0</v>
      </c>
      <c r="P19" s="436" t="e">
        <f>SUM(P17:P18)</f>
        <v>#REF!</v>
      </c>
      <c r="Q19" s="416"/>
      <c r="R19" s="416"/>
      <c r="S19" s="416"/>
      <c r="T19" s="416"/>
      <c r="U19" s="416"/>
      <c r="V19" s="416"/>
      <c r="W19" s="416"/>
      <c r="X19" s="416"/>
      <c r="Y19" s="416"/>
      <c r="Z19" s="416"/>
      <c r="AA19" s="416"/>
      <c r="AB19" s="308" t="e">
        <f>SUM(AB15:AB18)</f>
        <v>#REF!</v>
      </c>
      <c r="AC19" s="444">
        <f t="shared" si="0"/>
        <v>10372255.09</v>
      </c>
      <c r="AD19" s="445" t="e">
        <f t="shared" si="0"/>
        <v>#REF!</v>
      </c>
      <c r="AE19" s="174" t="e">
        <f>SUM(AE15:AE18)</f>
        <v>#REF!</v>
      </c>
      <c r="AF19" s="264"/>
    </row>
    <row r="20" spans="2:31" ht="15.75">
      <c r="B20" s="291"/>
      <c r="C20" s="250">
        <v>-3</v>
      </c>
      <c r="D20" s="32" t="s">
        <v>337</v>
      </c>
      <c r="E20" s="32"/>
      <c r="F20" s="297"/>
      <c r="G20" s="316"/>
      <c r="H20" s="347"/>
      <c r="I20" s="347"/>
      <c r="J20" s="434"/>
      <c r="K20" s="434"/>
      <c r="L20" s="434"/>
      <c r="M20" s="434"/>
      <c r="N20" s="434"/>
      <c r="O20" s="434"/>
      <c r="P20" s="434"/>
      <c r="Q20" s="434"/>
      <c r="R20" s="434"/>
      <c r="S20" s="434"/>
      <c r="T20" s="434"/>
      <c r="U20" s="434"/>
      <c r="V20" s="434"/>
      <c r="W20" s="434"/>
      <c r="X20" s="434"/>
      <c r="Y20" s="434"/>
      <c r="Z20" s="434"/>
      <c r="AA20" s="434"/>
      <c r="AB20" s="434"/>
      <c r="AC20" s="434"/>
      <c r="AD20" s="434"/>
      <c r="AE20" s="349"/>
    </row>
    <row r="21" spans="2:31" ht="15.75">
      <c r="B21" s="291"/>
      <c r="C21" s="297"/>
      <c r="D21" s="249" t="s">
        <v>241</v>
      </c>
      <c r="E21" s="297" t="s">
        <v>341</v>
      </c>
      <c r="F21" s="297"/>
      <c r="G21" s="442"/>
      <c r="H21" s="347"/>
      <c r="I21" s="347"/>
      <c r="J21" s="434">
        <v>0</v>
      </c>
      <c r="K21" s="434"/>
      <c r="L21" s="434">
        <f>'NOTE 2'!L14</f>
        <v>0</v>
      </c>
      <c r="M21" s="434"/>
      <c r="N21" s="434">
        <f>'NOTE 2'!N14</f>
        <v>0</v>
      </c>
      <c r="O21" s="434"/>
      <c r="P21" s="434">
        <f>'NOTE 2'!P14</f>
        <v>0</v>
      </c>
      <c r="Q21" s="434"/>
      <c r="R21" s="434"/>
      <c r="S21" s="434"/>
      <c r="T21" s="434"/>
      <c r="U21" s="434"/>
      <c r="V21" s="434"/>
      <c r="W21" s="434"/>
      <c r="X21" s="434"/>
      <c r="Y21" s="434"/>
      <c r="Z21" s="434"/>
      <c r="AA21" s="434"/>
      <c r="AB21" s="434">
        <f>'NOTE 2'!AB14</f>
        <v>0</v>
      </c>
      <c r="AC21" s="434">
        <f>I21+K21+M21+O21+Q21+S21+U21+Y21+AA21</f>
        <v>0</v>
      </c>
      <c r="AD21" s="434">
        <f>J21+L21+N21+P21+R21+T21+V21+Z21+AB21</f>
        <v>0</v>
      </c>
      <c r="AE21" s="349">
        <v>0</v>
      </c>
    </row>
    <row r="22" spans="2:31" ht="15.75">
      <c r="B22" s="291"/>
      <c r="C22" s="297"/>
      <c r="D22" s="249" t="s">
        <v>242</v>
      </c>
      <c r="E22" s="297" t="s">
        <v>203</v>
      </c>
      <c r="F22" s="297"/>
      <c r="G22" s="442"/>
      <c r="H22" s="347" t="s">
        <v>167</v>
      </c>
      <c r="I22" s="347">
        <v>4329972</v>
      </c>
      <c r="J22" s="434">
        <v>5214442</v>
      </c>
      <c r="K22" s="434">
        <v>2972398</v>
      </c>
      <c r="L22" s="434" t="e">
        <f>#REF!</f>
        <v>#REF!</v>
      </c>
      <c r="M22" s="434">
        <v>9363313</v>
      </c>
      <c r="N22" s="434" t="e">
        <f>#REF!</f>
        <v>#REF!</v>
      </c>
      <c r="O22" s="434">
        <v>2531515</v>
      </c>
      <c r="P22" s="434" t="e">
        <f>#REF!</f>
        <v>#REF!</v>
      </c>
      <c r="Q22" s="434"/>
      <c r="R22" s="434"/>
      <c r="S22" s="434"/>
      <c r="T22" s="434"/>
      <c r="U22" s="434"/>
      <c r="V22" s="434"/>
      <c r="W22" s="434"/>
      <c r="X22" s="434"/>
      <c r="Y22" s="434"/>
      <c r="Z22" s="434"/>
      <c r="AA22" s="434"/>
      <c r="AB22" s="434" t="e">
        <f>#REF!</f>
        <v>#REF!</v>
      </c>
      <c r="AC22" s="434">
        <f aca="true" t="shared" si="1" ref="AC22:AD24">I22+K22+M22+O22+Q22+S22+U22+Y22+AA22+W22</f>
        <v>19197198</v>
      </c>
      <c r="AD22" s="434" t="e">
        <f t="shared" si="1"/>
        <v>#REF!</v>
      </c>
      <c r="AE22" s="349" t="e">
        <f>#REF!</f>
        <v>#REF!</v>
      </c>
    </row>
    <row r="23" spans="2:32" ht="15.75">
      <c r="B23" s="291"/>
      <c r="C23" s="297"/>
      <c r="D23" s="249" t="s">
        <v>243</v>
      </c>
      <c r="E23" s="297" t="s">
        <v>338</v>
      </c>
      <c r="F23" s="297"/>
      <c r="G23" s="442"/>
      <c r="H23" s="347" t="s">
        <v>168</v>
      </c>
      <c r="I23" s="347">
        <v>3919771</v>
      </c>
      <c r="J23" s="434">
        <v>8254191</v>
      </c>
      <c r="K23" s="434">
        <v>4228343</v>
      </c>
      <c r="L23" s="434" t="e">
        <f>#REF!</f>
        <v>#REF!</v>
      </c>
      <c r="M23" s="434">
        <f>9064663-M22</f>
        <v>-298650</v>
      </c>
      <c r="N23" s="434" t="e">
        <f>#REF!</f>
        <v>#REF!</v>
      </c>
      <c r="O23" s="434">
        <f>8755645-O22</f>
        <v>6224130</v>
      </c>
      <c r="P23" s="434" t="e">
        <f>#REF!</f>
        <v>#REF!</v>
      </c>
      <c r="Q23" s="434"/>
      <c r="R23" s="434"/>
      <c r="S23" s="434"/>
      <c r="T23" s="434"/>
      <c r="U23" s="434"/>
      <c r="V23" s="434"/>
      <c r="W23" s="434"/>
      <c r="X23" s="434"/>
      <c r="Y23" s="434"/>
      <c r="Z23" s="434"/>
      <c r="AA23" s="434"/>
      <c r="AB23" s="434" t="e">
        <f>#REF!</f>
        <v>#REF!</v>
      </c>
      <c r="AC23" s="434">
        <f t="shared" si="1"/>
        <v>14073594</v>
      </c>
      <c r="AD23" s="434" t="e">
        <f t="shared" si="1"/>
        <v>#REF!</v>
      </c>
      <c r="AE23" s="349" t="e">
        <f>#REF!</f>
        <v>#REF!</v>
      </c>
      <c r="AF23" s="185"/>
    </row>
    <row r="24" spans="2:31" ht="15.75">
      <c r="B24" s="291"/>
      <c r="C24" s="297"/>
      <c r="D24" s="249" t="s">
        <v>252</v>
      </c>
      <c r="E24" s="297" t="s">
        <v>339</v>
      </c>
      <c r="F24" s="297"/>
      <c r="G24" s="442"/>
      <c r="H24" s="347" t="s">
        <v>169</v>
      </c>
      <c r="I24" s="347"/>
      <c r="J24" s="434">
        <v>0</v>
      </c>
      <c r="K24" s="434"/>
      <c r="L24" s="434" t="e">
        <f>#REF!</f>
        <v>#REF!</v>
      </c>
      <c r="M24" s="434"/>
      <c r="N24" s="434" t="e">
        <f>#REF!</f>
        <v>#REF!</v>
      </c>
      <c r="O24" s="434"/>
      <c r="P24" s="434" t="e">
        <f>#REF!</f>
        <v>#REF!</v>
      </c>
      <c r="Q24" s="434"/>
      <c r="R24" s="434"/>
      <c r="S24" s="434"/>
      <c r="T24" s="434"/>
      <c r="U24" s="434"/>
      <c r="V24" s="434"/>
      <c r="W24" s="434"/>
      <c r="X24" s="434"/>
      <c r="Y24" s="434"/>
      <c r="Z24" s="434"/>
      <c r="AA24" s="434"/>
      <c r="AB24" s="434" t="e">
        <f>#REF!</f>
        <v>#REF!</v>
      </c>
      <c r="AC24" s="434">
        <f t="shared" si="1"/>
        <v>0</v>
      </c>
      <c r="AD24" s="434" t="e">
        <f t="shared" si="1"/>
        <v>#REF!</v>
      </c>
      <c r="AE24" s="349" t="e">
        <f>#REF!</f>
        <v>#REF!</v>
      </c>
    </row>
    <row r="25" spans="2:31" ht="15.75">
      <c r="B25" s="291"/>
      <c r="C25" s="297"/>
      <c r="D25" s="249" t="s">
        <v>274</v>
      </c>
      <c r="E25" s="297" t="s">
        <v>340</v>
      </c>
      <c r="F25" s="297"/>
      <c r="G25" s="442"/>
      <c r="H25" s="347"/>
      <c r="I25" s="347">
        <v>-228705463</v>
      </c>
      <c r="J25" s="434">
        <v>-196312660.29999998</v>
      </c>
      <c r="K25" s="434">
        <v>-181503896.29999998</v>
      </c>
      <c r="L25" s="434">
        <v>-56414291.370000035</v>
      </c>
      <c r="M25" s="434">
        <v>-180047890</v>
      </c>
      <c r="N25" s="434">
        <v>-937002649.94</v>
      </c>
      <c r="O25" s="434">
        <v>-152249906</v>
      </c>
      <c r="P25" s="434">
        <v>-196312660.29999998</v>
      </c>
      <c r="Q25" s="434"/>
      <c r="R25" s="434"/>
      <c r="S25" s="434"/>
      <c r="T25" s="434"/>
      <c r="U25" s="434"/>
      <c r="V25" s="434"/>
      <c r="W25" s="434"/>
      <c r="X25" s="434"/>
      <c r="Y25" s="434"/>
      <c r="Z25" s="434"/>
      <c r="AA25" s="434"/>
      <c r="AB25" s="434">
        <f>5274209230-5200000</f>
        <v>5269009230</v>
      </c>
      <c r="AC25" s="434">
        <f>I25+K25+M25+O25+Q25+S25+U25+Y25+AA25+W25+1</f>
        <v>-742507154.3</v>
      </c>
      <c r="AD25" s="434">
        <f>J25+L25+N25+P25+R25+T25+V25+Z25+AB25+X25</f>
        <v>3882966968.09</v>
      </c>
      <c r="AE25" s="349">
        <v>0.25999951362609863</v>
      </c>
    </row>
    <row r="26" spans="2:32" ht="16.5" thickBot="1">
      <c r="B26" s="291"/>
      <c r="C26" s="296"/>
      <c r="D26" s="291"/>
      <c r="E26" s="291"/>
      <c r="F26" s="291"/>
      <c r="G26" s="311" t="s">
        <v>391</v>
      </c>
      <c r="H26" s="347"/>
      <c r="I26" s="446">
        <v>-220455720</v>
      </c>
      <c r="J26" s="446">
        <v>-182844027.29999998</v>
      </c>
      <c r="K26" s="446">
        <f>SUM(K21:K25)</f>
        <v>-174303155.29999998</v>
      </c>
      <c r="L26" s="446" t="e">
        <f>SUM(L21:L25)</f>
        <v>#REF!</v>
      </c>
      <c r="M26" s="446">
        <f>SUM(M21:M25)</f>
        <v>-170983227</v>
      </c>
      <c r="N26" s="446" t="e">
        <f>SUM(N21:N25)</f>
        <v>#REF!</v>
      </c>
      <c r="O26" s="446">
        <f>SUM(O22:O25)</f>
        <v>-143494261</v>
      </c>
      <c r="P26" s="447" t="e">
        <f>SUM(P22:P25)</f>
        <v>#REF!</v>
      </c>
      <c r="Q26" s="416"/>
      <c r="R26" s="416"/>
      <c r="S26" s="416"/>
      <c r="T26" s="416"/>
      <c r="U26" s="416"/>
      <c r="V26" s="416"/>
      <c r="W26" s="416"/>
      <c r="X26" s="416"/>
      <c r="Y26" s="416"/>
      <c r="Z26" s="416"/>
      <c r="AA26" s="416"/>
      <c r="AB26" s="448" t="e">
        <f>SUM(AB21:AB25)</f>
        <v>#REF!</v>
      </c>
      <c r="AC26" s="449">
        <f>I26+K26+M26+O26+Q26+S26+U26+Y26+AA26+W26+1</f>
        <v>-709236362.3</v>
      </c>
      <c r="AD26" s="449" t="e">
        <f>J26+L26+N26+P26+R26+T26+V26+Z26+AB26+X26</f>
        <v>#REF!</v>
      </c>
      <c r="AE26" s="440" t="e">
        <f>SUM(AE21:AE25)</f>
        <v>#REF!</v>
      </c>
      <c r="AF26" s="264"/>
    </row>
    <row r="27" spans="2:31" ht="16.5" thickTop="1">
      <c r="B27" s="291"/>
      <c r="C27" s="250">
        <v>-4</v>
      </c>
      <c r="D27" s="32" t="s">
        <v>315</v>
      </c>
      <c r="E27" s="291"/>
      <c r="F27" s="291"/>
      <c r="G27" s="311"/>
      <c r="H27" s="347" t="s">
        <v>170</v>
      </c>
      <c r="I27" s="450">
        <v>0</v>
      </c>
      <c r="J27" s="450">
        <v>0</v>
      </c>
      <c r="K27" s="450"/>
      <c r="L27" s="450" t="e">
        <f>#REF!</f>
        <v>#REF!</v>
      </c>
      <c r="M27" s="450"/>
      <c r="N27" s="450" t="e">
        <f>#REF!</f>
        <v>#REF!</v>
      </c>
      <c r="O27" s="451">
        <v>0</v>
      </c>
      <c r="P27" s="452" t="e">
        <f>#REF!</f>
        <v>#REF!</v>
      </c>
      <c r="Q27" s="453"/>
      <c r="R27" s="453"/>
      <c r="S27" s="453"/>
      <c r="T27" s="454"/>
      <c r="U27" s="454"/>
      <c r="V27" s="454"/>
      <c r="W27" s="454"/>
      <c r="X27" s="454"/>
      <c r="Y27" s="454"/>
      <c r="Z27" s="454"/>
      <c r="AA27" s="454"/>
      <c r="AB27" s="455" t="e">
        <f>#REF!</f>
        <v>#REF!</v>
      </c>
      <c r="AC27" s="456">
        <f>I27+K27+M27+O27+Q27+S27+U27+Y27+AA27+W27</f>
        <v>0</v>
      </c>
      <c r="AD27" s="457" t="e">
        <f>J27+L27+N27+P27+R27+T27+V27+Z27+AB27+X27</f>
        <v>#REF!</v>
      </c>
      <c r="AE27" s="330" t="e">
        <f>#REF!</f>
        <v>#REF!</v>
      </c>
    </row>
    <row r="28" spans="2:32" ht="15.75">
      <c r="B28" s="291"/>
      <c r="C28" s="250"/>
      <c r="F28" s="291"/>
      <c r="G28" s="331" t="s">
        <v>316</v>
      </c>
      <c r="H28" s="347"/>
      <c r="I28" s="347"/>
      <c r="J28" s="332">
        <v>0</v>
      </c>
      <c r="K28" s="332"/>
      <c r="L28" s="332" t="e">
        <f>L27</f>
        <v>#REF!</v>
      </c>
      <c r="M28" s="332"/>
      <c r="N28" s="332" t="e">
        <f>N27</f>
        <v>#REF!</v>
      </c>
      <c r="O28" s="332"/>
      <c r="P28" s="332" t="e">
        <f>P27</f>
        <v>#REF!</v>
      </c>
      <c r="Q28" s="332"/>
      <c r="R28" s="332"/>
      <c r="S28" s="332"/>
      <c r="T28" s="332"/>
      <c r="U28" s="332"/>
      <c r="V28" s="332"/>
      <c r="W28" s="332"/>
      <c r="X28" s="332"/>
      <c r="Y28" s="332"/>
      <c r="Z28" s="332"/>
      <c r="AA28" s="332"/>
      <c r="AB28" s="332" t="e">
        <f>AB27</f>
        <v>#REF!</v>
      </c>
      <c r="AC28" s="434">
        <f>I28+K28+M28+O28+Q28+S28+U28+Y28+AA28+W28</f>
        <v>0</v>
      </c>
      <c r="AD28" s="434" t="e">
        <f>J28+L28+N28+P28+R28+T28+V28+Z28+AB28+X28</f>
        <v>#REF!</v>
      </c>
      <c r="AE28" s="332" t="e">
        <f>AE27</f>
        <v>#REF!</v>
      </c>
      <c r="AF28" s="264"/>
    </row>
    <row r="29" spans="2:32" ht="16.5" thickBot="1">
      <c r="B29" s="291"/>
      <c r="C29" s="296"/>
      <c r="D29" s="291"/>
      <c r="F29" s="291"/>
      <c r="G29" s="333" t="s">
        <v>317</v>
      </c>
      <c r="H29" s="332"/>
      <c r="I29" s="334">
        <v>99062301</v>
      </c>
      <c r="J29" s="334">
        <v>95474306.58999997</v>
      </c>
      <c r="K29" s="334">
        <f aca="true" t="shared" si="2" ref="K29:P29">K28+K26+K19+K11</f>
        <v>65710832.99000001</v>
      </c>
      <c r="L29" s="334" t="e">
        <f t="shared" si="2"/>
        <v>#REF!</v>
      </c>
      <c r="M29" s="334">
        <f t="shared" si="2"/>
        <v>49051147</v>
      </c>
      <c r="N29" s="334" t="e">
        <f t="shared" si="2"/>
        <v>#REF!</v>
      </c>
      <c r="O29" s="334">
        <f t="shared" si="2"/>
        <v>47023434</v>
      </c>
      <c r="P29" s="401" t="e">
        <f t="shared" si="2"/>
        <v>#REF!</v>
      </c>
      <c r="Q29" s="416"/>
      <c r="R29" s="416"/>
      <c r="S29" s="416"/>
      <c r="T29" s="416"/>
      <c r="U29" s="416"/>
      <c r="V29" s="416"/>
      <c r="W29" s="416"/>
      <c r="X29" s="416"/>
      <c r="Y29" s="416"/>
      <c r="Z29" s="416"/>
      <c r="AA29" s="416"/>
      <c r="AB29" s="407" t="e">
        <f>AB28+AB26+AB19+AB11</f>
        <v>#REF!</v>
      </c>
      <c r="AC29" s="245">
        <f>AC11+AC19+AC26+AC28</f>
        <v>260847716.99000013</v>
      </c>
      <c r="AD29" s="251" t="e">
        <f>J29+L29+N29+P29+R29+T29+V29+Z29+AB29+X29</f>
        <v>#REF!</v>
      </c>
      <c r="AE29" s="334" t="e">
        <f>AE28+AE26+AE19+AE11</f>
        <v>#REF!</v>
      </c>
      <c r="AF29" s="185"/>
    </row>
    <row r="30" spans="2:31" ht="18" customHeight="1" thickTop="1">
      <c r="B30" s="252" t="s">
        <v>259</v>
      </c>
      <c r="C30" s="253" t="s">
        <v>260</v>
      </c>
      <c r="D30" s="297"/>
      <c r="E30" s="297"/>
      <c r="F30" s="291"/>
      <c r="G30" s="316"/>
      <c r="H30" s="347"/>
      <c r="I30" s="347"/>
      <c r="J30" s="434"/>
      <c r="K30" s="434"/>
      <c r="L30" s="434"/>
      <c r="M30" s="434"/>
      <c r="N30" s="434"/>
      <c r="O30" s="434"/>
      <c r="P30" s="434"/>
      <c r="Q30" s="434"/>
      <c r="R30" s="434"/>
      <c r="S30" s="434"/>
      <c r="T30" s="434"/>
      <c r="U30" s="434"/>
      <c r="V30" s="434"/>
      <c r="W30" s="434"/>
      <c r="X30" s="434"/>
      <c r="Y30" s="434"/>
      <c r="Z30" s="434"/>
      <c r="AA30" s="434"/>
      <c r="AB30" s="434"/>
      <c r="AC30" s="434"/>
      <c r="AD30" s="434"/>
      <c r="AE30" s="349"/>
    </row>
    <row r="31" spans="2:34" ht="15.75">
      <c r="B31" s="291"/>
      <c r="C31" s="250">
        <v>-1</v>
      </c>
      <c r="D31" s="32" t="s">
        <v>342</v>
      </c>
      <c r="E31" s="32"/>
      <c r="F31" s="297"/>
      <c r="G31" s="316"/>
      <c r="H31" s="347"/>
      <c r="I31" s="347"/>
      <c r="J31" s="434"/>
      <c r="K31" s="434"/>
      <c r="L31" s="434"/>
      <c r="M31" s="434"/>
      <c r="N31" s="434"/>
      <c r="O31" s="434"/>
      <c r="P31" s="434"/>
      <c r="Q31" s="434"/>
      <c r="R31" s="434"/>
      <c r="S31" s="434"/>
      <c r="T31" s="434"/>
      <c r="U31" s="434"/>
      <c r="V31" s="434"/>
      <c r="W31" s="434"/>
      <c r="X31" s="434"/>
      <c r="Y31" s="434"/>
      <c r="Z31" s="434"/>
      <c r="AA31" s="434"/>
      <c r="AB31" s="434"/>
      <c r="AC31" s="434"/>
      <c r="AD31" s="434"/>
      <c r="AE31" s="349"/>
      <c r="AH31" s="185"/>
    </row>
    <row r="32" spans="2:31" ht="15.75">
      <c r="B32" s="291"/>
      <c r="C32" s="336"/>
      <c r="D32" s="249" t="s">
        <v>241</v>
      </c>
      <c r="E32" s="32" t="s">
        <v>343</v>
      </c>
      <c r="F32" s="297"/>
      <c r="G32" s="316"/>
      <c r="H32" s="347"/>
      <c r="I32" s="347"/>
      <c r="J32" s="434"/>
      <c r="K32" s="434"/>
      <c r="L32" s="458"/>
      <c r="M32" s="458"/>
      <c r="N32" s="434"/>
      <c r="O32" s="434"/>
      <c r="P32" s="458"/>
      <c r="Q32" s="458"/>
      <c r="R32" s="434"/>
      <c r="S32" s="434"/>
      <c r="T32" s="458"/>
      <c r="U32" s="458"/>
      <c r="V32" s="434"/>
      <c r="W32" s="434"/>
      <c r="X32" s="458"/>
      <c r="Y32" s="458"/>
      <c r="Z32" s="434"/>
      <c r="AA32" s="434"/>
      <c r="AB32" s="458"/>
      <c r="AC32" s="458"/>
      <c r="AD32" s="434"/>
      <c r="AE32" s="349"/>
    </row>
    <row r="33" spans="2:31" ht="15.75">
      <c r="B33" s="291"/>
      <c r="C33" s="336"/>
      <c r="D33" s="297"/>
      <c r="E33" s="249" t="s">
        <v>263</v>
      </c>
      <c r="F33" s="338" t="s">
        <v>344</v>
      </c>
      <c r="G33" s="442"/>
      <c r="H33" s="347" t="s">
        <v>221</v>
      </c>
      <c r="I33" s="347">
        <v>42735195</v>
      </c>
      <c r="J33" s="434">
        <v>34728931.88999999</v>
      </c>
      <c r="K33" s="434">
        <v>34398719.48</v>
      </c>
      <c r="L33" s="434">
        <v>1927719.1500000001</v>
      </c>
      <c r="M33" s="434">
        <v>35350796</v>
      </c>
      <c r="N33" s="434">
        <v>9484163.41</v>
      </c>
      <c r="O33" s="434">
        <v>33089452</v>
      </c>
      <c r="P33" s="434">
        <v>34728931.88999999</v>
      </c>
      <c r="Q33" s="434"/>
      <c r="R33" s="434"/>
      <c r="S33" s="434"/>
      <c r="T33" s="434"/>
      <c r="U33" s="434"/>
      <c r="V33" s="434"/>
      <c r="W33" s="434"/>
      <c r="X33" s="434"/>
      <c r="Y33" s="434"/>
      <c r="Z33" s="443"/>
      <c r="AA33" s="443"/>
      <c r="AB33" s="434">
        <v>5470799.6</v>
      </c>
      <c r="AC33" s="434">
        <f>I33+K33+M33+O33+Q33+S33+U33+Y33+AA33+W33-1</f>
        <v>145574161.48</v>
      </c>
      <c r="AD33" s="434">
        <f>J33+L33+N33+P33+R33+T33+V33+Z33+AB33+X33</f>
        <v>86340545.93999997</v>
      </c>
      <c r="AE33" s="349">
        <v>335773865.227</v>
      </c>
    </row>
    <row r="34" spans="2:31" ht="15.75">
      <c r="B34" s="291"/>
      <c r="C34" s="336"/>
      <c r="D34" s="297"/>
      <c r="E34" s="249" t="s">
        <v>265</v>
      </c>
      <c r="F34" s="338" t="s">
        <v>204</v>
      </c>
      <c r="G34" s="442"/>
      <c r="H34" s="347" t="s">
        <v>171</v>
      </c>
      <c r="I34" s="347">
        <v>156448</v>
      </c>
      <c r="J34" s="434">
        <v>10917555</v>
      </c>
      <c r="K34" s="434">
        <v>6604552</v>
      </c>
      <c r="L34" s="434">
        <v>0</v>
      </c>
      <c r="M34" s="434"/>
      <c r="N34" s="434"/>
      <c r="O34" s="434">
        <v>839662</v>
      </c>
      <c r="P34" s="434">
        <v>10917555</v>
      </c>
      <c r="Q34" s="434"/>
      <c r="R34" s="434"/>
      <c r="S34" s="434"/>
      <c r="T34" s="434"/>
      <c r="U34" s="434"/>
      <c r="V34" s="434"/>
      <c r="W34" s="434"/>
      <c r="X34" s="434"/>
      <c r="Y34" s="434"/>
      <c r="Z34" s="434"/>
      <c r="AA34" s="434"/>
      <c r="AB34" s="434">
        <v>184835</v>
      </c>
      <c r="AC34" s="434">
        <f>I34+K34+M34+O34+Q34+S34+U34+Y34+AA34+W34</f>
        <v>7600662</v>
      </c>
      <c r="AD34" s="434">
        <f>J34+L34+N34+P34+R34+T34+V34+Z34+AB34+X34</f>
        <v>22019945</v>
      </c>
      <c r="AE34" s="349">
        <v>21713372</v>
      </c>
    </row>
    <row r="35" spans="2:31" ht="15.75" customHeight="1">
      <c r="B35" s="291"/>
      <c r="C35" s="336"/>
      <c r="D35" s="297"/>
      <c r="E35" s="249" t="s">
        <v>269</v>
      </c>
      <c r="F35" s="338" t="s">
        <v>345</v>
      </c>
      <c r="G35" s="442"/>
      <c r="H35" s="347"/>
      <c r="I35" s="347"/>
      <c r="J35" s="434"/>
      <c r="K35" s="434"/>
      <c r="L35" s="434">
        <v>0</v>
      </c>
      <c r="M35" s="434"/>
      <c r="N35" s="434"/>
      <c r="O35" s="434"/>
      <c r="P35" s="434"/>
      <c r="Q35" s="434"/>
      <c r="R35" s="434"/>
      <c r="S35" s="434"/>
      <c r="T35" s="434"/>
      <c r="U35" s="434"/>
      <c r="V35" s="434"/>
      <c r="W35" s="434"/>
      <c r="X35" s="434"/>
      <c r="Y35" s="434"/>
      <c r="Z35" s="434"/>
      <c r="AA35" s="434"/>
      <c r="AB35" s="434"/>
      <c r="AC35" s="434"/>
      <c r="AD35" s="434"/>
      <c r="AE35" s="349"/>
    </row>
    <row r="36" spans="2:31" ht="15.75">
      <c r="B36" s="291"/>
      <c r="C36" s="336"/>
      <c r="D36" s="249" t="s">
        <v>242</v>
      </c>
      <c r="E36" s="297" t="s">
        <v>346</v>
      </c>
      <c r="F36" s="297"/>
      <c r="G36" s="442"/>
      <c r="H36" s="347"/>
      <c r="I36" s="347"/>
      <c r="J36" s="434"/>
      <c r="K36" s="434"/>
      <c r="L36" s="434">
        <v>0</v>
      </c>
      <c r="M36" s="434"/>
      <c r="N36" s="434"/>
      <c r="O36" s="434"/>
      <c r="P36" s="434"/>
      <c r="Q36" s="434"/>
      <c r="R36" s="434"/>
      <c r="S36" s="434"/>
      <c r="T36" s="434"/>
      <c r="U36" s="434"/>
      <c r="V36" s="434"/>
      <c r="W36" s="434"/>
      <c r="X36" s="434"/>
      <c r="Y36" s="434"/>
      <c r="Z36" s="434"/>
      <c r="AA36" s="434"/>
      <c r="AB36" s="434"/>
      <c r="AC36" s="434"/>
      <c r="AD36" s="434"/>
      <c r="AE36" s="349"/>
    </row>
    <row r="37" spans="2:31" ht="15.75">
      <c r="B37" s="291"/>
      <c r="C37" s="336"/>
      <c r="D37" s="249" t="s">
        <v>243</v>
      </c>
      <c r="E37" s="297" t="s">
        <v>347</v>
      </c>
      <c r="F37" s="297"/>
      <c r="G37" s="442"/>
      <c r="H37" s="347"/>
      <c r="I37" s="347"/>
      <c r="J37" s="434"/>
      <c r="K37" s="434"/>
      <c r="L37" s="434">
        <v>0</v>
      </c>
      <c r="M37" s="434"/>
      <c r="N37" s="434"/>
      <c r="O37" s="434"/>
      <c r="P37" s="434"/>
      <c r="Q37" s="434"/>
      <c r="R37" s="434"/>
      <c r="S37" s="434"/>
      <c r="T37" s="434"/>
      <c r="U37" s="434"/>
      <c r="V37" s="434"/>
      <c r="W37" s="434"/>
      <c r="X37" s="434"/>
      <c r="Y37" s="434"/>
      <c r="Z37" s="434"/>
      <c r="AA37" s="434"/>
      <c r="AB37" s="434"/>
      <c r="AC37" s="434"/>
      <c r="AD37" s="434"/>
      <c r="AE37" s="349"/>
    </row>
    <row r="38" spans="2:31" ht="15.75">
      <c r="B38" s="291"/>
      <c r="C38" s="336"/>
      <c r="D38" s="249" t="s">
        <v>252</v>
      </c>
      <c r="E38" s="297" t="s">
        <v>348</v>
      </c>
      <c r="F38" s="297"/>
      <c r="G38" s="442"/>
      <c r="H38" s="347" t="s">
        <v>172</v>
      </c>
      <c r="I38" s="347">
        <v>1283820</v>
      </c>
      <c r="J38" s="434">
        <v>1283820</v>
      </c>
      <c r="K38" s="434">
        <v>658000</v>
      </c>
      <c r="L38" s="434" t="e">
        <f>#REF!</f>
        <v>#REF!</v>
      </c>
      <c r="M38" s="434">
        <v>0</v>
      </c>
      <c r="N38" s="434" t="e">
        <f>#REF!</f>
        <v>#REF!</v>
      </c>
      <c r="O38" s="434">
        <v>0</v>
      </c>
      <c r="P38" s="434" t="e">
        <f>#REF!</f>
        <v>#REF!</v>
      </c>
      <c r="Q38" s="434"/>
      <c r="R38" s="434"/>
      <c r="S38" s="434"/>
      <c r="T38" s="434"/>
      <c r="U38" s="434"/>
      <c r="V38" s="434"/>
      <c r="W38" s="434"/>
      <c r="X38" s="434"/>
      <c r="Y38" s="434"/>
      <c r="Z38" s="434"/>
      <c r="AA38" s="434"/>
      <c r="AB38" s="434" t="e">
        <f>#REF!</f>
        <v>#REF!</v>
      </c>
      <c r="AC38" s="434">
        <f>I38+K38+M38+O38+Q38+S38+U38+Y38+AA38+W38</f>
        <v>1941820</v>
      </c>
      <c r="AD38" s="434" t="e">
        <f>J38+L38+N38+P38+R38+T38+V38+Z38+AB38+X38</f>
        <v>#REF!</v>
      </c>
      <c r="AE38" s="349" t="e">
        <f>#REF!</f>
        <v>#REF!</v>
      </c>
    </row>
    <row r="39" spans="2:31" ht="15.75">
      <c r="B39" s="291"/>
      <c r="C39" s="336"/>
      <c r="D39" s="249" t="s">
        <v>274</v>
      </c>
      <c r="E39" s="297" t="s">
        <v>349</v>
      </c>
      <c r="F39" s="297"/>
      <c r="G39" s="442"/>
      <c r="H39" s="347" t="s">
        <v>173</v>
      </c>
      <c r="I39" s="347"/>
      <c r="J39" s="434">
        <v>0</v>
      </c>
      <c r="K39" s="434"/>
      <c r="L39" s="434">
        <v>0</v>
      </c>
      <c r="M39" s="434"/>
      <c r="N39" s="434">
        <v>0</v>
      </c>
      <c r="O39" s="434"/>
      <c r="P39" s="434">
        <v>0</v>
      </c>
      <c r="Q39" s="434"/>
      <c r="R39" s="434"/>
      <c r="S39" s="434"/>
      <c r="T39" s="434"/>
      <c r="U39" s="434"/>
      <c r="V39" s="434"/>
      <c r="W39" s="434"/>
      <c r="X39" s="434"/>
      <c r="Y39" s="434"/>
      <c r="Z39" s="434"/>
      <c r="AA39" s="434"/>
      <c r="AB39" s="434">
        <v>0</v>
      </c>
      <c r="AC39" s="434">
        <f>I39+K39+M39+O39+Q39+S39+U39+Y39+AA39+W39</f>
        <v>0</v>
      </c>
      <c r="AD39" s="434">
        <f>J39+L39+N39+P39+R39+T39+V39+Z39+AB39+X39</f>
        <v>0</v>
      </c>
      <c r="AE39" s="349" t="e">
        <f>#REF!</f>
        <v>#REF!</v>
      </c>
    </row>
    <row r="40" spans="2:31" ht="15.75">
      <c r="B40" s="291"/>
      <c r="C40" s="336"/>
      <c r="D40" s="249"/>
      <c r="E40" s="297"/>
      <c r="F40" s="297"/>
      <c r="G40" s="442"/>
      <c r="H40" s="347"/>
      <c r="I40" s="347"/>
      <c r="J40" s="434"/>
      <c r="K40" s="434"/>
      <c r="L40" s="434"/>
      <c r="M40" s="434"/>
      <c r="N40" s="434"/>
      <c r="O40" s="434"/>
      <c r="P40" s="434"/>
      <c r="Q40" s="434"/>
      <c r="R40" s="434"/>
      <c r="S40" s="434"/>
      <c r="T40" s="434"/>
      <c r="U40" s="434"/>
      <c r="V40" s="434"/>
      <c r="W40" s="434"/>
      <c r="X40" s="434"/>
      <c r="Y40" s="434"/>
      <c r="Z40" s="434"/>
      <c r="AA40" s="434"/>
      <c r="AB40" s="434"/>
      <c r="AC40" s="434"/>
      <c r="AD40" s="434"/>
      <c r="AE40" s="349"/>
    </row>
    <row r="41" spans="2:32" ht="15.75">
      <c r="B41" s="291"/>
      <c r="C41" s="296"/>
      <c r="D41" s="291"/>
      <c r="E41" s="291"/>
      <c r="F41" s="291"/>
      <c r="G41" s="311" t="s">
        <v>392</v>
      </c>
      <c r="H41" s="347"/>
      <c r="I41" s="174">
        <v>44175463</v>
      </c>
      <c r="J41" s="174">
        <v>46930306.88999999</v>
      </c>
      <c r="K41" s="174">
        <f aca="true" t="shared" si="3" ref="K41:P41">SUM(K33:K40)</f>
        <v>41661271.48</v>
      </c>
      <c r="L41" s="174" t="e">
        <f t="shared" si="3"/>
        <v>#REF!</v>
      </c>
      <c r="M41" s="174">
        <f t="shared" si="3"/>
        <v>35350796</v>
      </c>
      <c r="N41" s="174" t="e">
        <f t="shared" si="3"/>
        <v>#REF!</v>
      </c>
      <c r="O41" s="174">
        <f t="shared" si="3"/>
        <v>33929114</v>
      </c>
      <c r="P41" s="436" t="e">
        <f t="shared" si="3"/>
        <v>#REF!</v>
      </c>
      <c r="Q41" s="416"/>
      <c r="R41" s="416"/>
      <c r="S41" s="416"/>
      <c r="T41" s="416"/>
      <c r="U41" s="416"/>
      <c r="V41" s="416"/>
      <c r="W41" s="416"/>
      <c r="X41" s="416"/>
      <c r="Y41" s="416"/>
      <c r="Z41" s="416"/>
      <c r="AA41" s="416"/>
      <c r="AB41" s="308" t="e">
        <f>SUM(AB33:AB40)</f>
        <v>#REF!</v>
      </c>
      <c r="AC41" s="444">
        <f>I41+K41+M41+O41+Q41+S41+U41+Y41+AA41+W41-1</f>
        <v>155116643.48</v>
      </c>
      <c r="AD41" s="459" t="e">
        <f>J41+L41+N41+P41+R41+T41+V41+Z41+AB41+X41</f>
        <v>#REF!</v>
      </c>
      <c r="AE41" s="174" t="e">
        <f>SUM(AE33:AE40)</f>
        <v>#REF!</v>
      </c>
      <c r="AF41" s="264"/>
    </row>
    <row r="42" spans="2:31" ht="15.75">
      <c r="B42" s="291"/>
      <c r="C42" s="250">
        <v>-2</v>
      </c>
      <c r="D42" s="32" t="s">
        <v>350</v>
      </c>
      <c r="E42" s="32"/>
      <c r="F42" s="297"/>
      <c r="G42" s="316"/>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349"/>
    </row>
    <row r="43" spans="2:31" ht="15.75" hidden="1">
      <c r="B43" s="291"/>
      <c r="C43" s="297"/>
      <c r="D43" s="249" t="s">
        <v>241</v>
      </c>
      <c r="E43" s="297" t="s">
        <v>277</v>
      </c>
      <c r="F43" s="297"/>
      <c r="G43" s="442"/>
      <c r="H43" s="347" t="s">
        <v>176</v>
      </c>
      <c r="I43" s="347"/>
      <c r="J43" s="434"/>
      <c r="K43" s="434"/>
      <c r="L43" s="434">
        <v>0</v>
      </c>
      <c r="M43" s="434"/>
      <c r="N43" s="434"/>
      <c r="O43" s="434"/>
      <c r="P43" s="434"/>
      <c r="Q43" s="434"/>
      <c r="R43" s="434"/>
      <c r="S43" s="434"/>
      <c r="T43" s="434"/>
      <c r="U43" s="434"/>
      <c r="V43" s="434"/>
      <c r="W43" s="434"/>
      <c r="X43" s="434"/>
      <c r="Y43" s="434"/>
      <c r="Z43" s="434"/>
      <c r="AA43" s="434"/>
      <c r="AB43" s="434"/>
      <c r="AC43" s="434"/>
      <c r="AD43" s="434"/>
      <c r="AE43" s="349"/>
    </row>
    <row r="44" spans="2:31" ht="15.75">
      <c r="B44" s="291"/>
      <c r="C44" s="297"/>
      <c r="D44" s="249" t="s">
        <v>241</v>
      </c>
      <c r="E44" s="297" t="s">
        <v>351</v>
      </c>
      <c r="F44" s="297"/>
      <c r="G44" s="442"/>
      <c r="H44" s="347" t="s">
        <v>174</v>
      </c>
      <c r="I44" s="347"/>
      <c r="J44" s="434">
        <v>0</v>
      </c>
      <c r="K44" s="434">
        <v>0</v>
      </c>
      <c r="L44" s="434" t="e">
        <f>#REF!</f>
        <v>#REF!</v>
      </c>
      <c r="M44" s="434">
        <v>0</v>
      </c>
      <c r="N44" s="434" t="e">
        <f>#REF!</f>
        <v>#REF!</v>
      </c>
      <c r="O44" s="434"/>
      <c r="P44" s="434">
        <v>0</v>
      </c>
      <c r="Q44" s="434"/>
      <c r="R44" s="434"/>
      <c r="S44" s="434"/>
      <c r="T44" s="434"/>
      <c r="U44" s="434"/>
      <c r="V44" s="434"/>
      <c r="W44" s="434"/>
      <c r="X44" s="434"/>
      <c r="Y44" s="434"/>
      <c r="Z44" s="434"/>
      <c r="AA44" s="434"/>
      <c r="AB44" s="434">
        <v>0</v>
      </c>
      <c r="AC44" s="434">
        <f aca="true" t="shared" si="4" ref="AC44:AD48">I44+K44+M44+O44+Q44+S44+U44+Y44+AA44+W44</f>
        <v>0</v>
      </c>
      <c r="AD44" s="434" t="e">
        <f t="shared" si="4"/>
        <v>#REF!</v>
      </c>
      <c r="AE44" s="349" t="e">
        <f>#REF!</f>
        <v>#REF!</v>
      </c>
    </row>
    <row r="45" spans="2:31" ht="15.75">
      <c r="B45" s="291"/>
      <c r="C45" s="297"/>
      <c r="D45" s="249" t="s">
        <v>242</v>
      </c>
      <c r="E45" s="297" t="s">
        <v>352</v>
      </c>
      <c r="F45" s="297"/>
      <c r="G45" s="442"/>
      <c r="H45" s="347" t="s">
        <v>175</v>
      </c>
      <c r="I45" s="347">
        <v>6631011</v>
      </c>
      <c r="J45" s="434">
        <v>1538011</v>
      </c>
      <c r="K45" s="434">
        <v>1856783</v>
      </c>
      <c r="L45" s="434">
        <v>0</v>
      </c>
      <c r="M45" s="434">
        <v>1262532</v>
      </c>
      <c r="N45" s="434">
        <v>0</v>
      </c>
      <c r="O45" s="434">
        <v>945101</v>
      </c>
      <c r="P45" s="434" t="e">
        <f>#REF!</f>
        <v>#REF!</v>
      </c>
      <c r="Q45" s="434"/>
      <c r="R45" s="434"/>
      <c r="S45" s="434"/>
      <c r="T45" s="434"/>
      <c r="U45" s="434"/>
      <c r="V45" s="434"/>
      <c r="W45" s="434"/>
      <c r="X45" s="434"/>
      <c r="Y45" s="434"/>
      <c r="Z45" s="434"/>
      <c r="AA45" s="434"/>
      <c r="AB45" s="434" t="e">
        <f>#REF!</f>
        <v>#REF!</v>
      </c>
      <c r="AC45" s="434">
        <f t="shared" si="4"/>
        <v>10695427</v>
      </c>
      <c r="AD45" s="434" t="e">
        <f t="shared" si="4"/>
        <v>#REF!</v>
      </c>
      <c r="AE45" s="349" t="e">
        <f>#REF!</f>
        <v>#REF!</v>
      </c>
    </row>
    <row r="46" spans="2:31" ht="15.75">
      <c r="B46" s="291"/>
      <c r="C46" s="297"/>
      <c r="D46" s="249" t="s">
        <v>243</v>
      </c>
      <c r="E46" s="297" t="s">
        <v>353</v>
      </c>
      <c r="F46" s="297"/>
      <c r="G46" s="442"/>
      <c r="H46" s="347" t="s">
        <v>176</v>
      </c>
      <c r="I46" s="347">
        <v>44618511</v>
      </c>
      <c r="J46" s="434">
        <v>43442690</v>
      </c>
      <c r="K46" s="434">
        <v>19959542</v>
      </c>
      <c r="L46" s="434" t="e">
        <f>#REF!</f>
        <v>#REF!</v>
      </c>
      <c r="M46" s="434">
        <v>5589925</v>
      </c>
      <c r="N46" s="434" t="e">
        <f>#REF!</f>
        <v>#REF!</v>
      </c>
      <c r="O46" s="434">
        <v>2413429</v>
      </c>
      <c r="P46" s="434" t="e">
        <f>#REF!</f>
        <v>#REF!</v>
      </c>
      <c r="Q46" s="434"/>
      <c r="R46" s="434"/>
      <c r="S46" s="434"/>
      <c r="T46" s="434"/>
      <c r="U46" s="434"/>
      <c r="V46" s="434"/>
      <c r="W46" s="434"/>
      <c r="X46" s="434"/>
      <c r="Y46" s="434"/>
      <c r="Z46" s="434"/>
      <c r="AA46" s="434"/>
      <c r="AB46" s="434" t="e">
        <f>#REF!</f>
        <v>#REF!</v>
      </c>
      <c r="AC46" s="434">
        <f t="shared" si="4"/>
        <v>72581407</v>
      </c>
      <c r="AD46" s="434" t="e">
        <f t="shared" si="4"/>
        <v>#REF!</v>
      </c>
      <c r="AE46" s="349" t="e">
        <f>#REF!</f>
        <v>#REF!</v>
      </c>
    </row>
    <row r="47" spans="2:31" ht="15.75">
      <c r="B47" s="291"/>
      <c r="C47" s="297"/>
      <c r="D47" s="249" t="s">
        <v>252</v>
      </c>
      <c r="E47" s="297" t="s">
        <v>354</v>
      </c>
      <c r="F47" s="297"/>
      <c r="G47" s="442"/>
      <c r="H47" s="347" t="s">
        <v>177</v>
      </c>
      <c r="I47" s="347">
        <v>430316</v>
      </c>
      <c r="J47" s="434">
        <v>356297</v>
      </c>
      <c r="K47" s="434">
        <v>332225</v>
      </c>
      <c r="L47" s="434" t="e">
        <f>#REF!</f>
        <v>#REF!</v>
      </c>
      <c r="M47" s="434">
        <v>6847894</v>
      </c>
      <c r="N47" s="434" t="e">
        <f>#REF!</f>
        <v>#REF!</v>
      </c>
      <c r="O47" s="434">
        <v>9735790</v>
      </c>
      <c r="P47" s="434" t="e">
        <f>#REF!</f>
        <v>#REF!</v>
      </c>
      <c r="Q47" s="434"/>
      <c r="R47" s="434"/>
      <c r="S47" s="434"/>
      <c r="T47" s="434"/>
      <c r="U47" s="434"/>
      <c r="V47" s="434"/>
      <c r="W47" s="434"/>
      <c r="X47" s="434"/>
      <c r="Y47" s="434"/>
      <c r="Z47" s="434"/>
      <c r="AA47" s="434"/>
      <c r="AB47" s="434" t="e">
        <f>#REF!</f>
        <v>#REF!</v>
      </c>
      <c r="AC47" s="434">
        <f t="shared" si="4"/>
        <v>17346225</v>
      </c>
      <c r="AD47" s="434" t="e">
        <f t="shared" si="4"/>
        <v>#REF!</v>
      </c>
      <c r="AE47" s="349" t="e">
        <f>#REF!</f>
        <v>#REF!</v>
      </c>
    </row>
    <row r="48" spans="2:31" ht="15.75">
      <c r="B48" s="291"/>
      <c r="C48" s="296"/>
      <c r="D48" s="249" t="s">
        <v>274</v>
      </c>
      <c r="E48" s="297" t="s">
        <v>355</v>
      </c>
      <c r="F48" s="297"/>
      <c r="G48" s="442"/>
      <c r="H48" s="347" t="s">
        <v>178</v>
      </c>
      <c r="I48" s="347">
        <v>3207000</v>
      </c>
      <c r="J48" s="434">
        <v>3207000</v>
      </c>
      <c r="K48" s="434">
        <v>1901012</v>
      </c>
      <c r="L48" s="434">
        <v>0</v>
      </c>
      <c r="M48" s="434">
        <v>0</v>
      </c>
      <c r="N48" s="434" t="e">
        <f>#REF!</f>
        <v>#REF!</v>
      </c>
      <c r="O48" s="434">
        <v>0</v>
      </c>
      <c r="P48" s="434" t="e">
        <f>#REF!</f>
        <v>#REF!</v>
      </c>
      <c r="Q48" s="434"/>
      <c r="R48" s="434"/>
      <c r="S48" s="434"/>
      <c r="T48" s="434"/>
      <c r="U48" s="434"/>
      <c r="V48" s="434"/>
      <c r="W48" s="434"/>
      <c r="X48" s="434"/>
      <c r="Y48" s="434"/>
      <c r="Z48" s="434"/>
      <c r="AA48" s="434"/>
      <c r="AB48" s="434">
        <v>0</v>
      </c>
      <c r="AC48" s="434">
        <f t="shared" si="4"/>
        <v>5108012</v>
      </c>
      <c r="AD48" s="460" t="e">
        <f t="shared" si="4"/>
        <v>#REF!</v>
      </c>
      <c r="AE48" s="349" t="e">
        <f>#REF!</f>
        <v>#REF!</v>
      </c>
    </row>
    <row r="49" spans="2:32" ht="15.75">
      <c r="B49" s="291"/>
      <c r="C49" s="296"/>
      <c r="D49" s="291"/>
      <c r="E49" s="291"/>
      <c r="F49" s="291"/>
      <c r="G49" s="311" t="s">
        <v>393</v>
      </c>
      <c r="H49" s="347"/>
      <c r="I49" s="174">
        <v>54886838</v>
      </c>
      <c r="J49" s="174">
        <v>48543998</v>
      </c>
      <c r="K49" s="174">
        <f aca="true" t="shared" si="5" ref="K49:P49">SUM(K43:K48)</f>
        <v>24049562</v>
      </c>
      <c r="L49" s="174" t="e">
        <f t="shared" si="5"/>
        <v>#REF!</v>
      </c>
      <c r="M49" s="174">
        <f t="shared" si="5"/>
        <v>13700351</v>
      </c>
      <c r="N49" s="174" t="e">
        <f t="shared" si="5"/>
        <v>#REF!</v>
      </c>
      <c r="O49" s="174">
        <f t="shared" si="5"/>
        <v>13094320</v>
      </c>
      <c r="P49" s="436" t="e">
        <f t="shared" si="5"/>
        <v>#REF!</v>
      </c>
      <c r="Q49" s="416"/>
      <c r="R49" s="416"/>
      <c r="S49" s="416"/>
      <c r="T49" s="416"/>
      <c r="U49" s="416"/>
      <c r="V49" s="416"/>
      <c r="W49" s="416"/>
      <c r="X49" s="416"/>
      <c r="Y49" s="416"/>
      <c r="Z49" s="416"/>
      <c r="AA49" s="416"/>
      <c r="AB49" s="437" t="e">
        <f>SUM(AB43:AB48)</f>
        <v>#REF!</v>
      </c>
      <c r="AC49" s="438">
        <f>I49+K49+M49+O49+Q49+S49+U49+Y49+AA49+W49+1</f>
        <v>105731072</v>
      </c>
      <c r="AD49" s="438" t="e">
        <f>J49+L49+N49+P49+R49+T49+V49+Z49+AB49+X49</f>
        <v>#REF!</v>
      </c>
      <c r="AE49" s="308" t="e">
        <f>SUM(AE43:AE48)</f>
        <v>#REF!</v>
      </c>
      <c r="AF49" s="264"/>
    </row>
    <row r="50" spans="2:31" ht="12.75">
      <c r="B50" s="291"/>
      <c r="C50" s="296"/>
      <c r="D50" s="291"/>
      <c r="E50" s="291"/>
      <c r="F50" s="291"/>
      <c r="G50" s="418"/>
      <c r="H50" s="347"/>
      <c r="I50" s="347"/>
      <c r="J50" s="332"/>
      <c r="K50" s="332"/>
      <c r="L50" s="332"/>
      <c r="M50" s="332"/>
      <c r="N50" s="332"/>
      <c r="O50" s="332"/>
      <c r="P50" s="332"/>
      <c r="Q50" s="332"/>
      <c r="R50" s="332"/>
      <c r="S50" s="332"/>
      <c r="T50" s="332"/>
      <c r="U50" s="332"/>
      <c r="V50" s="332"/>
      <c r="W50" s="332"/>
      <c r="X50" s="332"/>
      <c r="Y50" s="332"/>
      <c r="Z50" s="332"/>
      <c r="AA50" s="332"/>
      <c r="AB50" s="332"/>
      <c r="AC50" s="332"/>
      <c r="AD50" s="332"/>
      <c r="AE50" s="341"/>
    </row>
    <row r="51" spans="2:31" ht="16.5" thickBot="1">
      <c r="B51" s="291"/>
      <c r="C51" s="296"/>
      <c r="D51" s="291"/>
      <c r="E51" s="291"/>
      <c r="F51" s="291"/>
      <c r="G51" s="461" t="s">
        <v>394</v>
      </c>
      <c r="H51" s="347"/>
      <c r="I51" s="334">
        <v>99062301</v>
      </c>
      <c r="J51" s="334">
        <v>95474304.88999999</v>
      </c>
      <c r="K51" s="334">
        <f aca="true" t="shared" si="6" ref="K51:P51">+K41+K49</f>
        <v>65710833.48</v>
      </c>
      <c r="L51" s="334" t="e">
        <f t="shared" si="6"/>
        <v>#REF!</v>
      </c>
      <c r="M51" s="334">
        <f t="shared" si="6"/>
        <v>49051147</v>
      </c>
      <c r="N51" s="334" t="e">
        <f t="shared" si="6"/>
        <v>#REF!</v>
      </c>
      <c r="O51" s="334">
        <f t="shared" si="6"/>
        <v>47023434</v>
      </c>
      <c r="P51" s="401" t="e">
        <f t="shared" si="6"/>
        <v>#REF!</v>
      </c>
      <c r="Q51" s="416"/>
      <c r="R51" s="416"/>
      <c r="S51" s="416"/>
      <c r="T51" s="416"/>
      <c r="U51" s="416"/>
      <c r="V51" s="416"/>
      <c r="W51" s="416"/>
      <c r="X51" s="416"/>
      <c r="Y51" s="416"/>
      <c r="Z51" s="416"/>
      <c r="AA51" s="416"/>
      <c r="AB51" s="407" t="e">
        <f>+AB41+AB49</f>
        <v>#REF!</v>
      </c>
      <c r="AC51" s="245">
        <f>I51+K51+M51+O51+Q51+S51+U51+Y51+AA51+W51</f>
        <v>260847715.48</v>
      </c>
      <c r="AD51" s="251" t="e">
        <f>J51+L51+N51+P51+R51+T51+V51+Z51+AB51+X51</f>
        <v>#REF!</v>
      </c>
      <c r="AE51" s="334" t="e">
        <f>+AE41+AE49</f>
        <v>#REF!</v>
      </c>
    </row>
    <row r="52" spans="2:31" ht="13.5" customHeight="1" thickTop="1">
      <c r="B52" s="291"/>
      <c r="C52" s="296"/>
      <c r="D52" s="291"/>
      <c r="E52" s="291"/>
      <c r="F52" s="291"/>
      <c r="G52" s="346"/>
      <c r="H52" s="347"/>
      <c r="I52" s="347"/>
      <c r="J52" s="348"/>
      <c r="K52" s="348"/>
      <c r="L52" s="348"/>
      <c r="M52" s="348"/>
      <c r="N52" s="348"/>
      <c r="O52" s="348"/>
      <c r="P52" s="348"/>
      <c r="Q52" s="348"/>
      <c r="R52" s="348"/>
      <c r="S52" s="348"/>
      <c r="T52" s="348"/>
      <c r="U52" s="348"/>
      <c r="V52" s="348"/>
      <c r="W52" s="348"/>
      <c r="X52" s="348"/>
      <c r="Y52" s="348"/>
      <c r="Z52" s="348"/>
      <c r="AA52" s="348"/>
      <c r="AB52" s="348"/>
      <c r="AC52" s="348"/>
      <c r="AD52" s="348"/>
      <c r="AE52" s="349"/>
    </row>
    <row r="53" spans="3:31" s="264" customFormat="1" ht="15.75" hidden="1">
      <c r="C53" s="255"/>
      <c r="D53" s="255" t="s">
        <v>183</v>
      </c>
      <c r="E53" s="256"/>
      <c r="F53" s="204"/>
      <c r="G53" s="204"/>
      <c r="H53" s="350"/>
      <c r="I53" s="350">
        <f>+I29-I51</f>
        <v>0</v>
      </c>
      <c r="J53" s="350">
        <f aca="true" t="shared" si="7" ref="J53:P53">J51-J29</f>
        <v>-1.699999988079071</v>
      </c>
      <c r="K53" s="350">
        <f t="shared" si="7"/>
        <v>0.4899999871850014</v>
      </c>
      <c r="L53" s="350" t="e">
        <f t="shared" si="7"/>
        <v>#REF!</v>
      </c>
      <c r="M53" s="350">
        <f t="shared" si="7"/>
        <v>0</v>
      </c>
      <c r="N53" s="350" t="e">
        <f t="shared" si="7"/>
        <v>#REF!</v>
      </c>
      <c r="O53" s="350">
        <f t="shared" si="7"/>
        <v>0</v>
      </c>
      <c r="P53" s="350" t="e">
        <f t="shared" si="7"/>
        <v>#REF!</v>
      </c>
      <c r="Q53" s="417"/>
      <c r="R53" s="417"/>
      <c r="S53" s="417"/>
      <c r="T53" s="417"/>
      <c r="U53" s="417"/>
      <c r="V53" s="417"/>
      <c r="W53" s="417"/>
      <c r="X53" s="417"/>
      <c r="Y53" s="417"/>
      <c r="Z53" s="417"/>
      <c r="AA53" s="417"/>
      <c r="AB53" s="350" t="e">
        <f>AB51-AB29</f>
        <v>#REF!</v>
      </c>
      <c r="AC53" s="350">
        <f>AC51-AC29</f>
        <v>-1.5100001394748688</v>
      </c>
      <c r="AD53" s="350" t="e">
        <f>AD51-AD29</f>
        <v>#REF!</v>
      </c>
      <c r="AE53" s="350" t="e">
        <f>AE51-AE29</f>
        <v>#REF!</v>
      </c>
    </row>
    <row r="54" spans="2:27" s="264" customFormat="1" ht="15">
      <c r="B54" s="351" t="s">
        <v>188</v>
      </c>
      <c r="C54" s="351"/>
      <c r="D54" s="352"/>
      <c r="E54" s="353"/>
      <c r="F54" s="353"/>
      <c r="G54" s="354"/>
      <c r="H54" s="462"/>
      <c r="I54" s="462"/>
      <c r="J54" s="204"/>
      <c r="K54" s="204"/>
      <c r="L54" s="204"/>
      <c r="M54" s="204"/>
      <c r="Q54" s="395"/>
      <c r="R54" s="395"/>
      <c r="S54" s="395"/>
      <c r="T54" s="395"/>
      <c r="U54" s="395"/>
      <c r="V54" s="395"/>
      <c r="W54" s="395"/>
      <c r="X54" s="395"/>
      <c r="Y54" s="395"/>
      <c r="Z54" s="395"/>
      <c r="AA54" s="395"/>
    </row>
    <row r="55" spans="2:27" s="264" customFormat="1" ht="15.75" customHeight="1">
      <c r="B55" s="541" t="s">
        <v>396</v>
      </c>
      <c r="C55" s="541"/>
      <c r="D55" s="541"/>
      <c r="E55" s="541"/>
      <c r="F55" s="541"/>
      <c r="G55" s="541"/>
      <c r="H55" s="543" t="s">
        <v>395</v>
      </c>
      <c r="I55" s="257"/>
      <c r="J55" s="204"/>
      <c r="K55" s="204"/>
      <c r="L55" s="204"/>
      <c r="M55" s="204"/>
      <c r="Q55" s="395"/>
      <c r="R55" s="395"/>
      <c r="S55" s="395"/>
      <c r="T55" s="395"/>
      <c r="U55" s="395"/>
      <c r="V55" s="395"/>
      <c r="W55" s="395"/>
      <c r="X55" s="395"/>
      <c r="Y55" s="395"/>
      <c r="Z55" s="395"/>
      <c r="AA55" s="395"/>
    </row>
    <row r="56" spans="2:27" s="264" customFormat="1" ht="12.75" customHeight="1" thickBot="1">
      <c r="B56" s="542"/>
      <c r="C56" s="542"/>
      <c r="D56" s="542"/>
      <c r="E56" s="542"/>
      <c r="F56" s="542"/>
      <c r="G56" s="542"/>
      <c r="H56" s="543"/>
      <c r="I56" s="257"/>
      <c r="J56" s="204"/>
      <c r="K56" s="204"/>
      <c r="L56" s="204"/>
      <c r="M56" s="204"/>
      <c r="Q56" s="395"/>
      <c r="R56" s="395"/>
      <c r="S56" s="395"/>
      <c r="T56" s="395"/>
      <c r="U56" s="395"/>
      <c r="V56" s="395"/>
      <c r="W56" s="395"/>
      <c r="X56" s="395"/>
      <c r="Y56" s="395"/>
      <c r="Z56" s="395"/>
      <c r="AA56" s="395"/>
    </row>
    <row r="57" spans="2:27" s="264" customFormat="1" ht="16.5" thickTop="1">
      <c r="B57" s="229"/>
      <c r="C57" s="230"/>
      <c r="D57" s="230"/>
      <c r="E57" s="231"/>
      <c r="F57" s="204"/>
      <c r="G57" s="204"/>
      <c r="H57" s="204"/>
      <c r="I57" s="204"/>
      <c r="J57" s="204"/>
      <c r="K57" s="204"/>
      <c r="L57" s="204"/>
      <c r="M57" s="204"/>
      <c r="Q57" s="395"/>
      <c r="R57" s="395"/>
      <c r="S57" s="395"/>
      <c r="T57" s="395"/>
      <c r="U57" s="395"/>
      <c r="V57" s="395"/>
      <c r="W57" s="395"/>
      <c r="X57" s="395"/>
      <c r="Y57" s="395"/>
      <c r="Z57" s="395"/>
      <c r="AA57" s="395"/>
    </row>
    <row r="58" spans="2:27" s="264" customFormat="1" ht="15.75">
      <c r="B58" s="33"/>
      <c r="C58" s="230"/>
      <c r="D58" s="232"/>
      <c r="E58" s="540" t="s">
        <v>189</v>
      </c>
      <c r="F58" s="540"/>
      <c r="G58" s="540"/>
      <c r="H58" s="540"/>
      <c r="I58" s="540"/>
      <c r="J58" s="540"/>
      <c r="K58" s="540"/>
      <c r="L58" s="540"/>
      <c r="M58" s="258"/>
      <c r="Q58" s="395"/>
      <c r="R58" s="395"/>
      <c r="S58" s="395"/>
      <c r="T58" s="395"/>
      <c r="U58" s="395"/>
      <c r="V58" s="395"/>
      <c r="W58" s="395"/>
      <c r="X58" s="395"/>
      <c r="Y58" s="395"/>
      <c r="Z58" s="395"/>
      <c r="AA58" s="395"/>
    </row>
    <row r="59" spans="1:27" s="463" customFormat="1" ht="15">
      <c r="A59" s="264"/>
      <c r="B59" s="355"/>
      <c r="D59" s="237"/>
      <c r="E59" s="238"/>
      <c r="F59" s="361"/>
      <c r="G59" s="361"/>
      <c r="H59" s="361"/>
      <c r="I59" s="361"/>
      <c r="J59" s="361"/>
      <c r="K59" s="361"/>
      <c r="L59" s="361"/>
      <c r="M59" s="361"/>
      <c r="Q59" s="424"/>
      <c r="R59" s="424"/>
      <c r="S59" s="424"/>
      <c r="T59" s="424"/>
      <c r="U59" s="424"/>
      <c r="V59" s="424"/>
      <c r="W59" s="424"/>
      <c r="X59" s="424"/>
      <c r="Y59" s="424"/>
      <c r="Z59" s="424"/>
      <c r="AA59" s="424"/>
    </row>
    <row r="60" spans="1:27" s="463" customFormat="1" ht="15">
      <c r="A60" s="264"/>
      <c r="B60" s="264"/>
      <c r="C60" s="237"/>
      <c r="D60" s="355"/>
      <c r="E60" s="238"/>
      <c r="F60" s="361"/>
      <c r="G60" s="361"/>
      <c r="H60" s="361"/>
      <c r="I60" s="361"/>
      <c r="J60" s="361"/>
      <c r="K60" s="361"/>
      <c r="L60" s="361"/>
      <c r="M60" s="361"/>
      <c r="Q60" s="424"/>
      <c r="R60" s="424"/>
      <c r="S60" s="424"/>
      <c r="T60" s="424"/>
      <c r="U60" s="424"/>
      <c r="V60" s="424"/>
      <c r="W60" s="424"/>
      <c r="X60" s="424"/>
      <c r="Y60" s="424"/>
      <c r="Z60" s="424"/>
      <c r="AA60" s="424"/>
    </row>
    <row r="61" spans="1:27" s="463" customFormat="1" ht="15">
      <c r="A61" s="264"/>
      <c r="B61" s="264"/>
      <c r="C61" s="237"/>
      <c r="D61" s="355"/>
      <c r="E61" s="238"/>
      <c r="F61" s="361"/>
      <c r="G61" s="361"/>
      <c r="H61" s="361"/>
      <c r="I61" s="361"/>
      <c r="J61" s="361"/>
      <c r="K61" s="361"/>
      <c r="L61" s="361"/>
      <c r="M61" s="361"/>
      <c r="Q61" s="424"/>
      <c r="R61" s="424"/>
      <c r="S61" s="424"/>
      <c r="T61" s="424"/>
      <c r="U61" s="424"/>
      <c r="V61" s="424"/>
      <c r="W61" s="424"/>
      <c r="X61" s="424"/>
      <c r="Y61" s="424"/>
      <c r="Z61" s="424"/>
      <c r="AA61" s="424"/>
    </row>
    <row r="62" spans="1:27" s="464" customFormat="1" ht="15">
      <c r="A62" s="261"/>
      <c r="B62" s="261"/>
      <c r="C62" s="237"/>
      <c r="D62" s="355"/>
      <c r="E62" s="238"/>
      <c r="F62" s="361"/>
      <c r="G62" s="361"/>
      <c r="H62" s="361"/>
      <c r="I62" s="361"/>
      <c r="J62" s="361"/>
      <c r="K62" s="361"/>
      <c r="L62" s="361"/>
      <c r="M62" s="361"/>
      <c r="Q62" s="291"/>
      <c r="R62" s="291"/>
      <c r="S62" s="291"/>
      <c r="T62" s="291"/>
      <c r="U62" s="291"/>
      <c r="V62" s="291"/>
      <c r="W62" s="291"/>
      <c r="X62" s="291"/>
      <c r="Y62" s="291"/>
      <c r="Z62" s="291"/>
      <c r="AA62" s="291"/>
    </row>
    <row r="63" spans="1:27" s="464" customFormat="1" ht="15">
      <c r="A63" s="261"/>
      <c r="B63" s="358"/>
      <c r="D63" s="237"/>
      <c r="E63" s="358"/>
      <c r="H63" s="259"/>
      <c r="I63" s="259"/>
      <c r="J63" s="259"/>
      <c r="K63" s="259"/>
      <c r="L63" s="210"/>
      <c r="M63" s="210"/>
      <c r="Q63" s="291"/>
      <c r="R63" s="291"/>
      <c r="S63" s="291"/>
      <c r="T63" s="291"/>
      <c r="U63" s="291"/>
      <c r="V63" s="291"/>
      <c r="W63" s="291"/>
      <c r="X63" s="291"/>
      <c r="Y63" s="291"/>
      <c r="Z63" s="291"/>
      <c r="AA63" s="291"/>
    </row>
    <row r="64" spans="1:27" s="464" customFormat="1" ht="15">
      <c r="A64" s="261"/>
      <c r="B64" s="358"/>
      <c r="D64" s="237"/>
      <c r="E64" s="358"/>
      <c r="H64" s="259"/>
      <c r="I64" s="259"/>
      <c r="J64" s="259"/>
      <c r="K64" s="259"/>
      <c r="L64" s="210"/>
      <c r="M64" s="210"/>
      <c r="Q64" s="291"/>
      <c r="R64" s="291"/>
      <c r="S64" s="291"/>
      <c r="T64" s="291"/>
      <c r="U64" s="291"/>
      <c r="V64" s="291"/>
      <c r="W64" s="291"/>
      <c r="X64" s="291"/>
      <c r="Y64" s="291"/>
      <c r="Z64" s="291"/>
      <c r="AA64" s="291"/>
    </row>
    <row r="65" spans="1:13" s="464" customFormat="1" ht="15">
      <c r="A65" s="261"/>
      <c r="B65" s="261"/>
      <c r="C65" s="237"/>
      <c r="D65" s="362"/>
      <c r="E65" s="358"/>
      <c r="F65" s="210"/>
      <c r="G65" s="362"/>
      <c r="H65" s="362"/>
      <c r="I65" s="362"/>
      <c r="J65" s="210"/>
      <c r="K65" s="210"/>
      <c r="L65" s="362"/>
      <c r="M65" s="362"/>
    </row>
    <row r="66" spans="1:13" s="464" customFormat="1" ht="15">
      <c r="A66" s="261"/>
      <c r="B66" s="261"/>
      <c r="C66" s="237"/>
      <c r="D66" s="362"/>
      <c r="E66" s="358"/>
      <c r="F66" s="210"/>
      <c r="G66" s="362"/>
      <c r="H66" s="362"/>
      <c r="I66" s="362"/>
      <c r="J66" s="210"/>
      <c r="K66" s="210"/>
      <c r="L66" s="362"/>
      <c r="M66" s="362"/>
    </row>
    <row r="67" spans="1:13" s="464" customFormat="1" ht="15">
      <c r="A67" s="261"/>
      <c r="B67" s="261"/>
      <c r="C67" s="237"/>
      <c r="D67" s="355"/>
      <c r="E67" s="362"/>
      <c r="F67" s="362"/>
      <c r="G67" s="362"/>
      <c r="H67" s="362"/>
      <c r="I67" s="362"/>
      <c r="J67" s="362"/>
      <c r="K67" s="362"/>
      <c r="L67" s="362"/>
      <c r="M67" s="362"/>
    </row>
    <row r="68" spans="1:13" s="464" customFormat="1" ht="15">
      <c r="A68" s="261"/>
      <c r="B68" s="355"/>
      <c r="C68" s="237"/>
      <c r="E68" s="238"/>
      <c r="F68" s="361"/>
      <c r="G68" s="361"/>
      <c r="H68" s="361"/>
      <c r="I68" s="361"/>
      <c r="J68" s="361"/>
      <c r="K68" s="361"/>
      <c r="L68" s="361"/>
      <c r="M68" s="361"/>
    </row>
    <row r="69" spans="1:13" s="464" customFormat="1" ht="15">
      <c r="A69" s="261"/>
      <c r="B69" s="355"/>
      <c r="C69" s="237"/>
      <c r="E69" s="238"/>
      <c r="F69" s="361"/>
      <c r="G69" s="361"/>
      <c r="H69" s="361"/>
      <c r="I69" s="361"/>
      <c r="J69" s="361"/>
      <c r="K69" s="361"/>
      <c r="L69" s="361"/>
      <c r="M69" s="361"/>
    </row>
    <row r="70" spans="1:13" s="464" customFormat="1" ht="15">
      <c r="A70" s="261"/>
      <c r="B70" s="355"/>
      <c r="C70" s="237"/>
      <c r="E70" s="360"/>
      <c r="F70" s="361"/>
      <c r="G70" s="362"/>
      <c r="H70" s="362"/>
      <c r="I70" s="362"/>
      <c r="J70" s="361"/>
      <c r="K70" s="361"/>
      <c r="L70" s="361"/>
      <c r="M70" s="361"/>
    </row>
    <row r="71" spans="1:13" s="464" customFormat="1" ht="15">
      <c r="A71" s="261"/>
      <c r="B71" s="355"/>
      <c r="C71" s="237"/>
      <c r="E71" s="360"/>
      <c r="F71" s="361"/>
      <c r="G71" s="362"/>
      <c r="H71" s="362"/>
      <c r="I71" s="362"/>
      <c r="J71" s="361"/>
      <c r="K71" s="361"/>
      <c r="L71" s="361"/>
      <c r="M71" s="361"/>
    </row>
    <row r="72" spans="1:13" s="464" customFormat="1" ht="15">
      <c r="A72" s="261"/>
      <c r="B72" s="237"/>
      <c r="C72" s="355"/>
      <c r="E72" s="360"/>
      <c r="F72" s="361"/>
      <c r="G72" s="362"/>
      <c r="H72" s="362"/>
      <c r="I72" s="362"/>
      <c r="J72" s="361"/>
      <c r="K72" s="361"/>
      <c r="L72" s="361"/>
      <c r="M72" s="361"/>
    </row>
    <row r="73" spans="1:13" s="464" customFormat="1" ht="15">
      <c r="A73" s="261"/>
      <c r="B73" s="237"/>
      <c r="C73" s="355"/>
      <c r="E73" s="360"/>
      <c r="F73" s="361"/>
      <c r="G73" s="362"/>
      <c r="H73" s="362"/>
      <c r="I73" s="362"/>
      <c r="J73" s="361"/>
      <c r="K73" s="361"/>
      <c r="L73" s="361"/>
      <c r="M73" s="361"/>
    </row>
    <row r="74" spans="1:13" s="464" customFormat="1" ht="15">
      <c r="A74" s="261"/>
      <c r="B74" s="237"/>
      <c r="C74" s="355"/>
      <c r="E74" s="238"/>
      <c r="F74" s="361"/>
      <c r="G74" s="361"/>
      <c r="H74" s="361"/>
      <c r="I74" s="361"/>
      <c r="J74" s="361"/>
      <c r="K74" s="361"/>
      <c r="L74" s="361"/>
      <c r="M74" s="361"/>
    </row>
    <row r="75" spans="1:13" s="464" customFormat="1" ht="15">
      <c r="A75" s="261"/>
      <c r="B75" s="237"/>
      <c r="C75" s="465"/>
      <c r="E75" s="238"/>
      <c r="F75" s="210"/>
      <c r="G75" s="210"/>
      <c r="H75" s="210"/>
      <c r="I75" s="210"/>
      <c r="J75" s="210"/>
      <c r="K75" s="210"/>
      <c r="L75" s="210"/>
      <c r="M75" s="210"/>
    </row>
    <row r="76" spans="1:13" s="464" customFormat="1" ht="15">
      <c r="A76" s="261"/>
      <c r="B76" s="237"/>
      <c r="C76" s="466"/>
      <c r="E76" s="238"/>
      <c r="F76" s="210"/>
      <c r="G76" s="210"/>
      <c r="H76" s="210"/>
      <c r="I76" s="210"/>
      <c r="J76" s="210"/>
      <c r="K76" s="210"/>
      <c r="L76" s="210"/>
      <c r="M76" s="210"/>
    </row>
    <row r="77" spans="1:13" s="464" customFormat="1" ht="15">
      <c r="A77" s="261"/>
      <c r="B77" s="237"/>
      <c r="C77" s="355"/>
      <c r="E77" s="238"/>
      <c r="F77" s="210"/>
      <c r="G77" s="210"/>
      <c r="H77" s="210"/>
      <c r="I77" s="210"/>
      <c r="J77" s="210"/>
      <c r="K77" s="210"/>
      <c r="L77" s="210"/>
      <c r="M77" s="210"/>
    </row>
    <row r="78" spans="1:13" s="464" customFormat="1" ht="15">
      <c r="A78" s="261"/>
      <c r="B78" s="237"/>
      <c r="C78" s="355"/>
      <c r="E78" s="238"/>
      <c r="F78" s="210"/>
      <c r="G78" s="210"/>
      <c r="H78" s="210"/>
      <c r="I78" s="210"/>
      <c r="J78" s="210"/>
      <c r="K78" s="210"/>
      <c r="L78" s="210"/>
      <c r="M78" s="210"/>
    </row>
    <row r="79" spans="1:13" s="464" customFormat="1" ht="15">
      <c r="A79" s="261"/>
      <c r="B79" s="355" t="s">
        <v>192</v>
      </c>
      <c r="C79" s="237"/>
      <c r="E79" s="238"/>
      <c r="F79" s="210"/>
      <c r="G79" s="210"/>
      <c r="H79" s="210"/>
      <c r="I79" s="210"/>
      <c r="J79" s="210"/>
      <c r="K79" s="210"/>
      <c r="L79" s="210"/>
      <c r="M79" s="210"/>
    </row>
  </sheetData>
  <sheetProtection/>
  <mergeCells count="11">
    <mergeCell ref="E58:L58"/>
    <mergeCell ref="B55:G56"/>
    <mergeCell ref="H55:H56"/>
    <mergeCell ref="N5:N6"/>
    <mergeCell ref="I5:I6"/>
    <mergeCell ref="J5:J6"/>
    <mergeCell ref="K5:K6"/>
    <mergeCell ref="L5:L6"/>
    <mergeCell ref="M5:M6"/>
    <mergeCell ref="O5:O6"/>
    <mergeCell ref="P5:P6"/>
  </mergeCells>
  <printOptions horizontalCentered="1"/>
  <pageMargins left="0.75" right="0.33" top="0.64" bottom="0.41" header="0.25" footer="0.15"/>
  <pageSetup fitToHeight="1" fitToWidth="1" horizontalDpi="300" verticalDpi="300" orientation="landscape" paperSize="5" scale="67" r:id="rId1"/>
</worksheet>
</file>

<file path=xl/worksheets/sheet9.xml><?xml version="1.0" encoding="utf-8"?>
<worksheet xmlns="http://schemas.openxmlformats.org/spreadsheetml/2006/main" xmlns:r="http://schemas.openxmlformats.org/officeDocument/2006/relationships">
  <sheetPr>
    <tabColor indexed="34"/>
    <pageSetUpPr fitToPage="1"/>
  </sheetPr>
  <dimension ref="A3:AG71"/>
  <sheetViews>
    <sheetView zoomScale="85" zoomScaleNormal="85" zoomScaleSheetLayoutView="85" workbookViewId="0" topLeftCell="A1">
      <pane xSplit="6" topLeftCell="G1" activePane="topRight" state="frozen"/>
      <selection pane="topLeft" activeCell="A1" sqref="A1"/>
      <selection pane="topRight" activeCell="H4" sqref="H4:L4"/>
    </sheetView>
  </sheetViews>
  <sheetFormatPr defaultColWidth="9.140625" defaultRowHeight="15"/>
  <cols>
    <col min="1" max="1" width="1.7109375" style="133" customWidth="1"/>
    <col min="2" max="2" width="4.421875" style="133" customWidth="1"/>
    <col min="3" max="5" width="5.140625" style="133" customWidth="1"/>
    <col min="6" max="6" width="47.8515625" style="133" customWidth="1"/>
    <col min="7" max="7" width="8.7109375" style="133" customWidth="1"/>
    <col min="8" max="8" width="14.421875" style="133" customWidth="1"/>
    <col min="9" max="9" width="12.57421875" style="213" customWidth="1"/>
    <col min="10" max="10" width="13.7109375" style="213" customWidth="1"/>
    <col min="11" max="12" width="15.140625" style="213" customWidth="1"/>
    <col min="13" max="14" width="15.8515625" style="133" customWidth="1"/>
    <col min="15" max="16" width="12.28125" style="133" customWidth="1"/>
    <col min="17" max="18" width="13.28125" style="133" customWidth="1"/>
    <col min="19" max="20" width="13.8515625" style="133" customWidth="1"/>
    <col min="21" max="22" width="13.28125" style="133" customWidth="1"/>
    <col min="23" max="24" width="12.8515625" style="133" customWidth="1"/>
    <col min="25" max="26" width="14.421875" style="133" customWidth="1"/>
    <col min="27" max="27" width="15.140625" style="133" customWidth="1"/>
    <col min="28" max="28" width="17.421875" style="133" customWidth="1"/>
    <col min="29" max="29" width="16.140625" style="133" hidden="1" customWidth="1"/>
    <col min="30" max="30" width="23.140625" style="191" hidden="1" customWidth="1"/>
    <col min="31" max="31" width="6.28125" style="133" customWidth="1"/>
    <col min="32" max="32" width="12.57421875" style="133" bestFit="1" customWidth="1"/>
    <col min="33" max="33" width="14.28125" style="133" bestFit="1" customWidth="1"/>
    <col min="34" max="34" width="9.140625" style="133" customWidth="1"/>
    <col min="35" max="35" width="11.00390625" style="133" bestFit="1" customWidth="1"/>
    <col min="36" max="37" width="9.140625" style="133" customWidth="1"/>
    <col min="38" max="38" width="12.00390625" style="133" bestFit="1" customWidth="1"/>
    <col min="39" max="16384" width="9.140625" style="133" customWidth="1"/>
  </cols>
  <sheetData>
    <row r="1" ht="11.25" customHeight="1"/>
    <row r="3" spans="2:30" s="291" customFormat="1" ht="15" customHeight="1">
      <c r="B3" s="363" t="s">
        <v>184</v>
      </c>
      <c r="C3" s="262"/>
      <c r="D3" s="261"/>
      <c r="E3" s="261"/>
      <c r="F3" s="261"/>
      <c r="G3" s="261"/>
      <c r="H3" s="261"/>
      <c r="I3" s="263"/>
      <c r="J3" s="263"/>
      <c r="AC3" s="261"/>
      <c r="AD3" s="261"/>
    </row>
    <row r="4" spans="2:30" s="291" customFormat="1" ht="18.75" customHeight="1">
      <c r="B4" s="363" t="s">
        <v>326</v>
      </c>
      <c r="C4" s="262"/>
      <c r="D4" s="261"/>
      <c r="E4" s="261"/>
      <c r="F4" s="261"/>
      <c r="G4" s="261"/>
      <c r="H4" s="261"/>
      <c r="I4" s="263"/>
      <c r="J4" s="263"/>
      <c r="N4" s="389"/>
      <c r="P4" s="391"/>
      <c r="R4" s="391"/>
      <c r="S4" s="391"/>
      <c r="AC4" s="261"/>
      <c r="AD4" s="261"/>
    </row>
    <row r="5" spans="2:30" s="291" customFormat="1" ht="18" customHeight="1">
      <c r="B5" s="264"/>
      <c r="C5" s="262"/>
      <c r="D5" s="261"/>
      <c r="E5" s="261"/>
      <c r="F5" s="261"/>
      <c r="G5" s="261"/>
      <c r="H5" s="270" t="s">
        <v>323</v>
      </c>
      <c r="I5" s="270" t="s">
        <v>300</v>
      </c>
      <c r="J5" s="270" t="s">
        <v>299</v>
      </c>
      <c r="K5" s="270" t="s">
        <v>397</v>
      </c>
      <c r="L5" s="364" t="s">
        <v>398</v>
      </c>
      <c r="M5" s="392"/>
      <c r="N5" s="393"/>
      <c r="O5" s="394"/>
      <c r="P5" s="393"/>
      <c r="Q5" s="394"/>
      <c r="R5" s="393"/>
      <c r="S5" s="394"/>
      <c r="T5" s="395"/>
      <c r="U5" s="395"/>
      <c r="V5" s="395"/>
      <c r="W5" s="391"/>
      <c r="X5" s="395"/>
      <c r="Y5" s="395"/>
      <c r="Z5" s="395"/>
      <c r="AA5" s="395"/>
      <c r="AB5" s="264"/>
      <c r="AC5" s="261"/>
      <c r="AD5" s="261"/>
    </row>
    <row r="6" spans="2:30" s="291" customFormat="1" ht="12.75" customHeight="1">
      <c r="B6" s="273" t="s">
        <v>216</v>
      </c>
      <c r="C6" s="274"/>
      <c r="D6" s="274"/>
      <c r="E6" s="274"/>
      <c r="F6" s="274"/>
      <c r="G6" s="274"/>
      <c r="H6" s="514" t="s">
        <v>402</v>
      </c>
      <c r="I6" s="514" t="s">
        <v>402</v>
      </c>
      <c r="J6" s="514" t="s">
        <v>402</v>
      </c>
      <c r="K6" s="514" t="s">
        <v>402</v>
      </c>
      <c r="L6" s="514" t="s">
        <v>402</v>
      </c>
      <c r="M6" s="467"/>
      <c r="N6" s="467"/>
      <c r="O6" s="467"/>
      <c r="P6" s="468"/>
      <c r="Q6" s="468"/>
      <c r="R6" s="468"/>
      <c r="S6" s="468"/>
      <c r="T6" s="468"/>
      <c r="U6" s="468"/>
      <c r="V6" s="468"/>
      <c r="W6" s="468"/>
      <c r="X6" s="468"/>
      <c r="Y6" s="468"/>
      <c r="Z6" s="468"/>
      <c r="AA6" s="468"/>
      <c r="AB6" s="469" t="s">
        <v>329</v>
      </c>
      <c r="AC6" s="469" t="s">
        <v>330</v>
      </c>
      <c r="AD6" s="470" t="s">
        <v>193</v>
      </c>
    </row>
    <row r="7" spans="2:30" s="291" customFormat="1" ht="15">
      <c r="B7" s="280"/>
      <c r="C7" s="281"/>
      <c r="D7" s="281"/>
      <c r="E7" s="281"/>
      <c r="F7" s="281"/>
      <c r="G7" s="281"/>
      <c r="H7" s="515" t="s">
        <v>403</v>
      </c>
      <c r="I7" s="515" t="s">
        <v>403</v>
      </c>
      <c r="J7" s="515" t="s">
        <v>403</v>
      </c>
      <c r="K7" s="515" t="s">
        <v>403</v>
      </c>
      <c r="L7" s="515" t="s">
        <v>403</v>
      </c>
      <c r="N7" s="468"/>
      <c r="O7" s="468"/>
      <c r="P7" s="468"/>
      <c r="Q7" s="468"/>
      <c r="R7" s="467"/>
      <c r="S7" s="467"/>
      <c r="T7" s="467"/>
      <c r="U7" s="467"/>
      <c r="V7" s="467"/>
      <c r="W7" s="467"/>
      <c r="X7" s="467"/>
      <c r="Y7" s="467"/>
      <c r="Z7" s="467"/>
      <c r="AA7" s="467"/>
      <c r="AB7" s="473" t="s">
        <v>323</v>
      </c>
      <c r="AC7" s="367" t="s">
        <v>300</v>
      </c>
      <c r="AD7" s="284" t="s">
        <v>187</v>
      </c>
    </row>
    <row r="8" spans="2:30" s="291" customFormat="1" ht="15.75" customHeight="1">
      <c r="B8" s="553"/>
      <c r="C8" s="553"/>
      <c r="D8" s="553"/>
      <c r="E8" s="553"/>
      <c r="F8" s="553"/>
      <c r="G8" s="418"/>
      <c r="H8" s="418"/>
      <c r="I8" s="474"/>
      <c r="J8" s="474"/>
      <c r="K8" s="474"/>
      <c r="L8" s="474"/>
      <c r="M8" s="474"/>
      <c r="N8" s="474"/>
      <c r="O8" s="474"/>
      <c r="P8" s="474"/>
      <c r="Q8" s="474"/>
      <c r="R8" s="474"/>
      <c r="S8" s="474"/>
      <c r="T8" s="474"/>
      <c r="U8" s="474"/>
      <c r="V8" s="474"/>
      <c r="W8" s="474"/>
      <c r="X8" s="474"/>
      <c r="Y8" s="474"/>
      <c r="Z8" s="474"/>
      <c r="AA8" s="474"/>
      <c r="AB8" s="474"/>
      <c r="AC8" s="474"/>
      <c r="AD8" s="349"/>
    </row>
    <row r="9" spans="2:31" ht="15.75">
      <c r="B9" s="260" t="s">
        <v>284</v>
      </c>
      <c r="C9" s="32" t="s">
        <v>356</v>
      </c>
      <c r="D9" s="260"/>
      <c r="E9" s="32"/>
      <c r="F9" s="368"/>
      <c r="G9" s="130" t="s">
        <v>179</v>
      </c>
      <c r="H9" s="130">
        <v>24373105</v>
      </c>
      <c r="I9" s="175">
        <v>24257459</v>
      </c>
      <c r="J9" s="175">
        <v>19946362</v>
      </c>
      <c r="K9" s="175">
        <v>0</v>
      </c>
      <c r="L9" s="175">
        <v>0</v>
      </c>
      <c r="M9" s="175"/>
      <c r="N9" s="175"/>
      <c r="O9" s="175"/>
      <c r="P9" s="175"/>
      <c r="Q9" s="175"/>
      <c r="R9" s="175"/>
      <c r="S9" s="175"/>
      <c r="T9" s="175"/>
      <c r="U9" s="175"/>
      <c r="V9" s="175"/>
      <c r="W9" s="175"/>
      <c r="X9" s="175"/>
      <c r="Y9" s="175"/>
      <c r="Z9" s="175"/>
      <c r="AA9" s="175"/>
      <c r="AB9" s="175">
        <f>+H9+J9+L9+N9+P9+R9+T9+V9+X9+Z9</f>
        <v>44319467</v>
      </c>
      <c r="AC9" s="175">
        <f>+I9+K9+M9+O9+Q9+S9+U9+W9+Y9+AA9</f>
        <v>24257459</v>
      </c>
      <c r="AD9" s="191" t="e">
        <f>#REF!</f>
        <v>#REF!</v>
      </c>
      <c r="AE9" s="192"/>
    </row>
    <row r="10" spans="2:31" ht="15.75">
      <c r="B10" s="260" t="s">
        <v>259</v>
      </c>
      <c r="C10" s="32" t="s">
        <v>357</v>
      </c>
      <c r="D10" s="260"/>
      <c r="E10" s="32"/>
      <c r="F10" s="368"/>
      <c r="G10" s="193" t="s">
        <v>180</v>
      </c>
      <c r="H10" s="193">
        <v>8377</v>
      </c>
      <c r="I10" s="175">
        <v>-352272</v>
      </c>
      <c r="J10" s="175">
        <v>126624</v>
      </c>
      <c r="K10" s="175">
        <v>15908663</v>
      </c>
      <c r="L10" s="175">
        <v>16988379</v>
      </c>
      <c r="M10" s="175"/>
      <c r="N10" s="175"/>
      <c r="O10" s="175"/>
      <c r="P10" s="175"/>
      <c r="Q10" s="175"/>
      <c r="R10" s="175"/>
      <c r="S10" s="175"/>
      <c r="T10" s="175"/>
      <c r="U10" s="175"/>
      <c r="V10" s="175"/>
      <c r="W10" s="175"/>
      <c r="X10" s="175"/>
      <c r="Y10" s="175"/>
      <c r="Z10" s="175"/>
      <c r="AA10" s="175"/>
      <c r="AB10" s="175">
        <f>+H10+J10+L10+N10+P10+R10+T10+V10+X10+Z10</f>
        <v>17123380</v>
      </c>
      <c r="AC10" s="175">
        <f>+I10+K10+M10+O10+Q10+S10+U10+W10+Y10+AA10</f>
        <v>15556391</v>
      </c>
      <c r="AD10" s="191" t="e">
        <f>#REF!</f>
        <v>#REF!</v>
      </c>
      <c r="AE10" s="192"/>
    </row>
    <row r="11" spans="2:29" ht="15.75">
      <c r="B11" s="260"/>
      <c r="C11" s="32"/>
      <c r="D11" s="260"/>
      <c r="E11" s="32"/>
      <c r="F11" s="368"/>
      <c r="G11" s="193"/>
      <c r="H11" s="193"/>
      <c r="I11" s="175"/>
      <c r="J11" s="175"/>
      <c r="K11" s="175"/>
      <c r="L11" s="175"/>
      <c r="M11" s="175"/>
      <c r="N11" s="175"/>
      <c r="O11" s="175"/>
      <c r="P11" s="175"/>
      <c r="Q11" s="175"/>
      <c r="R11" s="175"/>
      <c r="S11" s="175"/>
      <c r="T11" s="175"/>
      <c r="U11" s="175"/>
      <c r="V11" s="175"/>
      <c r="W11" s="194"/>
      <c r="X11" s="194"/>
      <c r="Y11" s="194"/>
      <c r="Z11" s="194"/>
      <c r="AA11" s="175"/>
      <c r="AB11" s="175"/>
      <c r="AC11" s="175"/>
    </row>
    <row r="12" spans="2:33" ht="15.75">
      <c r="B12" s="260" t="s">
        <v>285</v>
      </c>
      <c r="C12" s="32" t="s">
        <v>358</v>
      </c>
      <c r="D12" s="297"/>
      <c r="E12" s="297"/>
      <c r="F12" s="202"/>
      <c r="G12" s="193"/>
      <c r="H12" s="475">
        <v>24381482</v>
      </c>
      <c r="I12" s="475">
        <v>23905187</v>
      </c>
      <c r="J12" s="475">
        <f>SUM(J9:J11)</f>
        <v>20072986</v>
      </c>
      <c r="K12" s="475">
        <f>SUM(K9:K11)</f>
        <v>15908663</v>
      </c>
      <c r="L12" s="476">
        <f>SUM(L9:L11)</f>
        <v>16988379</v>
      </c>
      <c r="M12" s="477"/>
      <c r="N12" s="477"/>
      <c r="O12" s="477"/>
      <c r="P12" s="477"/>
      <c r="Q12" s="477"/>
      <c r="R12" s="477"/>
      <c r="S12" s="477"/>
      <c r="T12" s="477"/>
      <c r="U12" s="477"/>
      <c r="V12" s="477"/>
      <c r="W12" s="477"/>
      <c r="X12" s="477"/>
      <c r="Y12" s="477"/>
      <c r="Z12" s="477"/>
      <c r="AA12" s="477"/>
      <c r="AB12" s="478">
        <f>+H12+J12+L12+N12+P12+R12+T12+V12+X12+Z12</f>
        <v>61442847</v>
      </c>
      <c r="AC12" s="479">
        <f>+I12+K12+M12+O12+Q12+S12+U12+W12+Y12+AA12</f>
        <v>39813850</v>
      </c>
      <c r="AD12" s="475" t="e">
        <f>SUM(AD9:AD11)</f>
        <v>#REF!</v>
      </c>
      <c r="AE12" s="192"/>
      <c r="AF12" s="192"/>
      <c r="AG12" s="192"/>
    </row>
    <row r="13" spans="2:29" ht="15.75">
      <c r="B13" s="260" t="s">
        <v>286</v>
      </c>
      <c r="C13" s="32" t="s">
        <v>359</v>
      </c>
      <c r="D13" s="32"/>
      <c r="E13" s="297"/>
      <c r="F13" s="202"/>
      <c r="G13" s="193"/>
      <c r="H13" s="193"/>
      <c r="I13" s="178"/>
      <c r="J13" s="178"/>
      <c r="K13" s="175"/>
      <c r="L13" s="175"/>
      <c r="M13" s="178"/>
      <c r="N13" s="178"/>
      <c r="O13" s="175"/>
      <c r="P13" s="175"/>
      <c r="Q13" s="178"/>
      <c r="R13" s="178"/>
      <c r="S13" s="175"/>
      <c r="T13" s="175"/>
      <c r="U13" s="178"/>
      <c r="V13" s="178"/>
      <c r="W13" s="175"/>
      <c r="X13" s="175"/>
      <c r="Y13" s="178"/>
      <c r="Z13" s="178"/>
      <c r="AA13" s="175"/>
      <c r="AB13" s="175"/>
      <c r="AC13" s="178"/>
    </row>
    <row r="14" spans="2:32" ht="15.75">
      <c r="B14" s="32"/>
      <c r="C14" s="249" t="s">
        <v>241</v>
      </c>
      <c r="D14" s="297" t="s">
        <v>360</v>
      </c>
      <c r="E14" s="297"/>
      <c r="F14" s="216"/>
      <c r="G14" s="193" t="s">
        <v>164</v>
      </c>
      <c r="H14" s="175">
        <v>0</v>
      </c>
      <c r="I14" s="175">
        <v>0</v>
      </c>
      <c r="J14" s="175"/>
      <c r="K14" s="175">
        <v>0</v>
      </c>
      <c r="L14" s="175"/>
      <c r="M14" s="175"/>
      <c r="N14" s="175"/>
      <c r="O14" s="175"/>
      <c r="P14" s="175"/>
      <c r="Q14" s="175"/>
      <c r="R14" s="175"/>
      <c r="S14" s="175"/>
      <c r="T14" s="175"/>
      <c r="U14" s="175"/>
      <c r="V14" s="175"/>
      <c r="W14" s="175"/>
      <c r="X14" s="175"/>
      <c r="Y14" s="175"/>
      <c r="Z14" s="175"/>
      <c r="AA14" s="175"/>
      <c r="AB14" s="175">
        <f>+H14+J14+L14+N14+P14+R14+T14+V14+X14+Z14</f>
        <v>0</v>
      </c>
      <c r="AC14" s="175">
        <f>I14+K14+M14+O14+Q14+S14+U14+Y14+AA14</f>
        <v>0</v>
      </c>
      <c r="AD14" s="191" t="e">
        <f>#REF!</f>
        <v>#REF!</v>
      </c>
      <c r="AF14" s="192"/>
    </row>
    <row r="15" spans="2:32" ht="15.75">
      <c r="B15" s="32"/>
      <c r="C15" s="249" t="s">
        <v>242</v>
      </c>
      <c r="D15" s="297" t="s">
        <v>361</v>
      </c>
      <c r="E15" s="297"/>
      <c r="F15" s="216"/>
      <c r="G15" s="193" t="s">
        <v>232</v>
      </c>
      <c r="H15" s="193"/>
      <c r="I15" s="175">
        <v>0</v>
      </c>
      <c r="J15" s="175">
        <v>0</v>
      </c>
      <c r="K15" s="175">
        <v>0</v>
      </c>
      <c r="L15" s="175">
        <v>0</v>
      </c>
      <c r="M15" s="175"/>
      <c r="N15" s="175"/>
      <c r="O15" s="175"/>
      <c r="P15" s="175"/>
      <c r="Q15" s="175"/>
      <c r="R15" s="175"/>
      <c r="S15" s="175"/>
      <c r="T15" s="175"/>
      <c r="U15" s="175"/>
      <c r="V15" s="175"/>
      <c r="W15" s="175"/>
      <c r="X15" s="175"/>
      <c r="Y15" s="175"/>
      <c r="Z15" s="175"/>
      <c r="AA15" s="175"/>
      <c r="AB15" s="175">
        <f>+H15+J15+L15+N15+P15+R15+T15+V15+X15+Z15</f>
        <v>0</v>
      </c>
      <c r="AC15" s="175">
        <f>I15+K15+M15+O15+Q15+S15+U15+Y15+AA15+W15</f>
        <v>0</v>
      </c>
      <c r="AD15" s="191">
        <v>7993970783.59</v>
      </c>
      <c r="AF15" s="192"/>
    </row>
    <row r="16" spans="2:32" ht="15.75" customHeight="1">
      <c r="B16" s="32"/>
      <c r="C16" s="249" t="s">
        <v>243</v>
      </c>
      <c r="D16" s="555" t="s">
        <v>374</v>
      </c>
      <c r="E16" s="555"/>
      <c r="F16" s="555"/>
      <c r="G16" s="550" t="s">
        <v>233</v>
      </c>
      <c r="H16" s="550"/>
      <c r="I16" s="551"/>
      <c r="J16" s="551">
        <v>0</v>
      </c>
      <c r="K16" s="551">
        <v>0</v>
      </c>
      <c r="L16" s="551">
        <v>0</v>
      </c>
      <c r="M16" s="551"/>
      <c r="N16" s="551"/>
      <c r="O16" s="551"/>
      <c r="P16" s="551"/>
      <c r="Q16" s="551"/>
      <c r="R16" s="551"/>
      <c r="S16" s="551"/>
      <c r="T16" s="551"/>
      <c r="U16" s="551"/>
      <c r="V16" s="551"/>
      <c r="W16" s="551"/>
      <c r="X16" s="551"/>
      <c r="Y16" s="551"/>
      <c r="Z16" s="551"/>
      <c r="AA16" s="551"/>
      <c r="AB16" s="175">
        <f>+J16+L16+T16+V16</f>
        <v>0</v>
      </c>
      <c r="AC16" s="551">
        <f>+K16+M16+U16+W16</f>
        <v>0</v>
      </c>
      <c r="AD16" s="552">
        <v>1821947.9</v>
      </c>
      <c r="AF16" s="192"/>
    </row>
    <row r="17" spans="2:32" ht="16.5" customHeight="1">
      <c r="B17" s="32"/>
      <c r="C17" s="249"/>
      <c r="D17" s="555"/>
      <c r="E17" s="555"/>
      <c r="F17" s="555"/>
      <c r="G17" s="550"/>
      <c r="H17" s="550"/>
      <c r="I17" s="551"/>
      <c r="J17" s="551"/>
      <c r="K17" s="551"/>
      <c r="L17" s="551"/>
      <c r="M17" s="551"/>
      <c r="N17" s="551"/>
      <c r="O17" s="551"/>
      <c r="P17" s="551"/>
      <c r="Q17" s="551"/>
      <c r="R17" s="551"/>
      <c r="S17" s="551"/>
      <c r="T17" s="551"/>
      <c r="U17" s="551"/>
      <c r="V17" s="551"/>
      <c r="W17" s="551"/>
      <c r="X17" s="551"/>
      <c r="Y17" s="551"/>
      <c r="Z17" s="551"/>
      <c r="AA17" s="551"/>
      <c r="AB17" s="196"/>
      <c r="AC17" s="551"/>
      <c r="AD17" s="552"/>
      <c r="AF17" s="192"/>
    </row>
    <row r="18" spans="2:32" ht="15.75">
      <c r="B18" s="32"/>
      <c r="C18" s="249" t="s">
        <v>252</v>
      </c>
      <c r="D18" s="297" t="s">
        <v>362</v>
      </c>
      <c r="E18" s="297"/>
      <c r="F18" s="216"/>
      <c r="G18" s="193" t="s">
        <v>234</v>
      </c>
      <c r="H18" s="193">
        <v>11717915</v>
      </c>
      <c r="I18" s="175">
        <v>10942640</v>
      </c>
      <c r="J18" s="175">
        <v>10863941.2</v>
      </c>
      <c r="K18" s="175">
        <v>9101745</v>
      </c>
      <c r="L18" s="175">
        <v>6996319</v>
      </c>
      <c r="M18" s="175"/>
      <c r="N18" s="175"/>
      <c r="O18" s="175"/>
      <c r="P18" s="175"/>
      <c r="Q18" s="175"/>
      <c r="R18" s="175"/>
      <c r="S18" s="175"/>
      <c r="T18" s="175"/>
      <c r="U18" s="175"/>
      <c r="V18" s="175"/>
      <c r="W18" s="175"/>
      <c r="X18" s="175"/>
      <c r="Y18" s="175"/>
      <c r="Z18" s="175"/>
      <c r="AA18" s="175"/>
      <c r="AB18" s="175">
        <f>+H18+J18+L18+N18+P18+R18+T18+V18+X18+Z18</f>
        <v>29578175.2</v>
      </c>
      <c r="AC18" s="175">
        <f>+I18+K18+M18+O18+Q18+S18+U18+W18+Y18+AA18</f>
        <v>20044385</v>
      </c>
      <c r="AD18" s="175" t="e">
        <f>#REF!</f>
        <v>#REF!</v>
      </c>
      <c r="AE18" s="192"/>
      <c r="AF18" s="192"/>
    </row>
    <row r="19" spans="2:32" ht="15.75" customHeight="1">
      <c r="B19" s="32"/>
      <c r="C19" s="249" t="s">
        <v>274</v>
      </c>
      <c r="D19" s="297" t="s">
        <v>363</v>
      </c>
      <c r="E19" s="297"/>
      <c r="F19" s="216"/>
      <c r="G19" s="193"/>
      <c r="H19" s="193"/>
      <c r="I19" s="175">
        <v>0</v>
      </c>
      <c r="J19" s="175"/>
      <c r="K19" s="175">
        <v>0</v>
      </c>
      <c r="L19" s="175"/>
      <c r="M19" s="175"/>
      <c r="N19" s="175"/>
      <c r="O19" s="175"/>
      <c r="P19" s="175"/>
      <c r="Q19" s="175"/>
      <c r="R19" s="175"/>
      <c r="S19" s="175"/>
      <c r="T19" s="175"/>
      <c r="U19" s="175"/>
      <c r="V19" s="175"/>
      <c r="W19" s="175"/>
      <c r="X19" s="175"/>
      <c r="Y19" s="175"/>
      <c r="Z19" s="175"/>
      <c r="AA19" s="175"/>
      <c r="AB19" s="175"/>
      <c r="AC19" s="175">
        <f>I19+K19+M19+O19+Q19+S19+U19+Y19+AA19</f>
        <v>0</v>
      </c>
      <c r="AD19" s="191">
        <v>0</v>
      </c>
      <c r="AF19" s="192"/>
    </row>
    <row r="20" spans="2:32" ht="15.75">
      <c r="B20" s="176"/>
      <c r="C20" s="249" t="s">
        <v>282</v>
      </c>
      <c r="D20" s="297" t="s">
        <v>364</v>
      </c>
      <c r="E20" s="297"/>
      <c r="F20" s="216"/>
      <c r="G20" s="193"/>
      <c r="H20" s="193">
        <v>4368162</v>
      </c>
      <c r="I20" s="175">
        <v>4341119.5</v>
      </c>
      <c r="J20" s="175">
        <v>4269414</v>
      </c>
      <c r="K20" s="175">
        <v>4247432</v>
      </c>
      <c r="L20" s="175">
        <v>6451077</v>
      </c>
      <c r="M20" s="175"/>
      <c r="N20" s="175"/>
      <c r="O20" s="175"/>
      <c r="P20" s="175"/>
      <c r="Q20" s="175"/>
      <c r="R20" s="175"/>
      <c r="S20" s="175"/>
      <c r="T20" s="175"/>
      <c r="U20" s="175"/>
      <c r="V20" s="175"/>
      <c r="W20" s="175"/>
      <c r="X20" s="175"/>
      <c r="Y20" s="175"/>
      <c r="Z20" s="175"/>
      <c r="AA20" s="175"/>
      <c r="AB20" s="175">
        <f>+H20+J20+L20+N20+P20+R20+T20+V20+X20+Z20</f>
        <v>15088653</v>
      </c>
      <c r="AC20" s="175">
        <f>+I20+K20+M20+O20+Q20+S20+U20+W20+Y20+AA20</f>
        <v>8588551.5</v>
      </c>
      <c r="AD20" s="191">
        <v>15784125.999999998</v>
      </c>
      <c r="AF20" s="192"/>
    </row>
    <row r="21" spans="2:32" ht="15.75">
      <c r="B21" s="176"/>
      <c r="C21" s="249" t="s">
        <v>287</v>
      </c>
      <c r="D21" s="297" t="s">
        <v>365</v>
      </c>
      <c r="F21" s="216"/>
      <c r="G21" s="193" t="s">
        <v>235</v>
      </c>
      <c r="H21" s="193">
        <v>21932326</v>
      </c>
      <c r="I21" s="175">
        <v>21436595</v>
      </c>
      <c r="J21" s="175">
        <v>16425602</v>
      </c>
      <c r="K21" s="175">
        <f>16855160+1912</f>
        <v>16857072</v>
      </c>
      <c r="L21" s="175">
        <v>12917105</v>
      </c>
      <c r="M21" s="175"/>
      <c r="N21" s="175"/>
      <c r="O21" s="175"/>
      <c r="P21" s="175"/>
      <c r="Q21" s="175"/>
      <c r="R21" s="175"/>
      <c r="S21" s="175"/>
      <c r="T21" s="175"/>
      <c r="U21" s="175"/>
      <c r="V21" s="175"/>
      <c r="W21" s="175"/>
      <c r="X21" s="175"/>
      <c r="Y21" s="175"/>
      <c r="Z21" s="175"/>
      <c r="AA21" s="175"/>
      <c r="AB21" s="175">
        <f>+H21+J21+L21+N21+P21+R21+T21+V21+X21+Z21</f>
        <v>51275033</v>
      </c>
      <c r="AC21" s="175">
        <f>+I21+K21+M21+O21+Q21+S21+U21+W21+Y21+AA21</f>
        <v>38293667</v>
      </c>
      <c r="AD21" s="175" t="e">
        <f>#REF!</f>
        <v>#REF!</v>
      </c>
      <c r="AF21" s="192"/>
    </row>
    <row r="22" spans="2:29" ht="15.75" customHeight="1">
      <c r="B22" s="176"/>
      <c r="C22" s="249"/>
      <c r="D22" s="297"/>
      <c r="F22" s="216"/>
      <c r="G22" s="193"/>
      <c r="H22" s="193"/>
      <c r="I22" s="175"/>
      <c r="J22" s="175"/>
      <c r="K22" s="194"/>
      <c r="L22" s="194"/>
      <c r="M22" s="175"/>
      <c r="N22" s="175"/>
      <c r="O22" s="175"/>
      <c r="P22" s="175"/>
      <c r="Q22" s="175"/>
      <c r="R22" s="175"/>
      <c r="S22" s="175"/>
      <c r="T22" s="175"/>
      <c r="U22" s="175"/>
      <c r="V22" s="175"/>
      <c r="W22" s="175"/>
      <c r="X22" s="175"/>
      <c r="Y22" s="175"/>
      <c r="Z22" s="175"/>
      <c r="AA22" s="175"/>
      <c r="AB22" s="175"/>
      <c r="AC22" s="175"/>
    </row>
    <row r="23" spans="2:32" ht="15.75">
      <c r="B23" s="176"/>
      <c r="C23" s="33" t="s">
        <v>366</v>
      </c>
      <c r="F23" s="480"/>
      <c r="G23" s="193"/>
      <c r="H23" s="481">
        <v>38018403</v>
      </c>
      <c r="I23" s="481">
        <v>36720354.5</v>
      </c>
      <c r="J23" s="481">
        <f>SUM(J14:J22)</f>
        <v>31558957.2</v>
      </c>
      <c r="K23" s="481">
        <f>SUM(K14:K22)</f>
        <v>30206249</v>
      </c>
      <c r="L23" s="482">
        <f>SUM(L15:L22)-1</f>
        <v>26364500</v>
      </c>
      <c r="M23" s="483"/>
      <c r="N23" s="483"/>
      <c r="O23" s="483"/>
      <c r="P23" s="483"/>
      <c r="Q23" s="483"/>
      <c r="R23" s="483"/>
      <c r="S23" s="483"/>
      <c r="T23" s="483"/>
      <c r="U23" s="483"/>
      <c r="V23" s="483"/>
      <c r="W23" s="483"/>
      <c r="X23" s="483"/>
      <c r="Y23" s="483"/>
      <c r="Z23" s="483"/>
      <c r="AA23" s="483"/>
      <c r="AB23" s="478">
        <f>+H23+J23+L23+N23+P23+R23+T23+V23+X23+Z23+1</f>
        <v>95941861.2</v>
      </c>
      <c r="AC23" s="479">
        <f>+I23+K23+M23+O23+Q23+S23+U23+W23+Y23+AA23</f>
        <v>66926603.5</v>
      </c>
      <c r="AD23" s="481" t="e">
        <f>SUM(AD14:AD22)</f>
        <v>#REF!</v>
      </c>
      <c r="AE23" s="192"/>
      <c r="AF23" s="192"/>
    </row>
    <row r="24" spans="2:29" ht="15">
      <c r="B24" s="176"/>
      <c r="F24" s="480"/>
      <c r="G24" s="193"/>
      <c r="H24" s="193"/>
      <c r="I24" s="484"/>
      <c r="J24" s="484"/>
      <c r="K24" s="484"/>
      <c r="L24" s="484"/>
      <c r="M24" s="484"/>
      <c r="N24" s="484"/>
      <c r="O24" s="484"/>
      <c r="P24" s="484"/>
      <c r="Q24" s="484"/>
      <c r="R24" s="484"/>
      <c r="S24" s="484"/>
      <c r="T24" s="484"/>
      <c r="U24" s="484"/>
      <c r="V24" s="484"/>
      <c r="W24" s="484"/>
      <c r="X24" s="484"/>
      <c r="Y24" s="484"/>
      <c r="Z24" s="484"/>
      <c r="AA24" s="484"/>
      <c r="AB24" s="484"/>
      <c r="AC24" s="484"/>
    </row>
    <row r="25" spans="2:33" ht="15.75">
      <c r="B25" s="260" t="s">
        <v>288</v>
      </c>
      <c r="C25" s="32" t="s">
        <v>376</v>
      </c>
      <c r="D25" s="297"/>
      <c r="E25" s="297"/>
      <c r="F25" s="485"/>
      <c r="G25" s="193"/>
      <c r="H25" s="178">
        <v>-13636921</v>
      </c>
      <c r="I25" s="178">
        <v>-12815167.5</v>
      </c>
      <c r="J25" s="178">
        <f>+J12-J23</f>
        <v>-11485971.2</v>
      </c>
      <c r="K25" s="178">
        <f>+K12-K23</f>
        <v>-14297586</v>
      </c>
      <c r="L25" s="178">
        <f>+L12-L23</f>
        <v>-9376121</v>
      </c>
      <c r="M25" s="178"/>
      <c r="N25" s="178"/>
      <c r="O25" s="178"/>
      <c r="P25" s="178"/>
      <c r="Q25" s="178"/>
      <c r="R25" s="178"/>
      <c r="S25" s="178"/>
      <c r="T25" s="178"/>
      <c r="U25" s="178"/>
      <c r="V25" s="178"/>
      <c r="W25" s="178"/>
      <c r="X25" s="178"/>
      <c r="Y25" s="178"/>
      <c r="Z25" s="178"/>
      <c r="AA25" s="178"/>
      <c r="AB25" s="175">
        <f>+H25+J25+L25+N25+P25+R25+T25+V25+X25+Z25</f>
        <v>-34499013.2</v>
      </c>
      <c r="AC25" s="175">
        <f>+I25+K25+M25+O25+Q25+S25+U25+W25+Y25+AA25</f>
        <v>-27112753.5</v>
      </c>
      <c r="AD25" s="178" t="e">
        <f>+AD12-AD23</f>
        <v>#REF!</v>
      </c>
      <c r="AF25" s="192"/>
      <c r="AG25" s="192"/>
    </row>
    <row r="26" spans="2:29" ht="15.75">
      <c r="B26" s="176"/>
      <c r="C26" s="32" t="s">
        <v>375</v>
      </c>
      <c r="F26" s="216"/>
      <c r="G26" s="193"/>
      <c r="H26" s="193"/>
      <c r="I26" s="178"/>
      <c r="J26" s="178"/>
      <c r="K26" s="178"/>
      <c r="L26" s="178"/>
      <c r="M26" s="178"/>
      <c r="N26" s="178"/>
      <c r="O26" s="178"/>
      <c r="P26" s="178"/>
      <c r="Q26" s="178"/>
      <c r="R26" s="178"/>
      <c r="S26" s="178"/>
      <c r="T26" s="178"/>
      <c r="U26" s="178"/>
      <c r="V26" s="178"/>
      <c r="W26" s="178"/>
      <c r="X26" s="178"/>
      <c r="Y26" s="178"/>
      <c r="Z26" s="178"/>
      <c r="AA26" s="178"/>
      <c r="AB26" s="178"/>
      <c r="AC26" s="178"/>
    </row>
    <row r="27" spans="2:30" ht="15.75">
      <c r="B27" s="260" t="s">
        <v>289</v>
      </c>
      <c r="C27" s="32" t="s">
        <v>367</v>
      </c>
      <c r="D27" s="32"/>
      <c r="E27" s="297"/>
      <c r="F27" s="216"/>
      <c r="G27" s="193"/>
      <c r="H27" s="193"/>
      <c r="I27" s="180"/>
      <c r="J27" s="180"/>
      <c r="K27" s="180">
        <v>0</v>
      </c>
      <c r="L27" s="180"/>
      <c r="M27" s="180"/>
      <c r="N27" s="180"/>
      <c r="O27" s="180"/>
      <c r="P27" s="180"/>
      <c r="Q27" s="180"/>
      <c r="R27" s="180"/>
      <c r="S27" s="180"/>
      <c r="T27" s="180"/>
      <c r="U27" s="180"/>
      <c r="V27" s="180"/>
      <c r="W27" s="180"/>
      <c r="X27" s="180"/>
      <c r="Y27" s="180"/>
      <c r="Z27" s="180"/>
      <c r="AA27" s="180"/>
      <c r="AB27" s="180"/>
      <c r="AC27" s="180">
        <v>0</v>
      </c>
      <c r="AD27" s="191">
        <v>0</v>
      </c>
    </row>
    <row r="28" spans="2:30" ht="15.75">
      <c r="B28" s="260" t="s">
        <v>290</v>
      </c>
      <c r="C28" s="32" t="s">
        <v>377</v>
      </c>
      <c r="D28" s="32"/>
      <c r="E28" s="486"/>
      <c r="F28" s="216"/>
      <c r="G28" s="193"/>
      <c r="H28" s="180">
        <v>-13636921</v>
      </c>
      <c r="I28" s="180">
        <v>-12815167.5</v>
      </c>
      <c r="J28" s="180">
        <f>+J25-J27</f>
        <v>-11485971.2</v>
      </c>
      <c r="K28" s="180">
        <f>+K25-K27</f>
        <v>-14297586</v>
      </c>
      <c r="L28" s="180">
        <f>+L25-L27</f>
        <v>-9376121</v>
      </c>
      <c r="M28" s="180"/>
      <c r="N28" s="180"/>
      <c r="O28" s="180"/>
      <c r="P28" s="180"/>
      <c r="Q28" s="180"/>
      <c r="R28" s="180"/>
      <c r="S28" s="180"/>
      <c r="T28" s="180"/>
      <c r="U28" s="180"/>
      <c r="V28" s="180"/>
      <c r="W28" s="180"/>
      <c r="X28" s="180"/>
      <c r="Y28" s="180"/>
      <c r="Z28" s="180"/>
      <c r="AA28" s="180"/>
      <c r="AB28" s="175">
        <f>+H28+J28+L28+N28+P28+R28+T28+V28+X28+Z28</f>
        <v>-34499013.2</v>
      </c>
      <c r="AC28" s="175">
        <f>+I28+K28+M28+O28+Q28+S28+U28+W28+Y28+AA28</f>
        <v>-27112753.5</v>
      </c>
      <c r="AD28" s="180" t="e">
        <f>+AD25-AD27</f>
        <v>#REF!</v>
      </c>
    </row>
    <row r="29" spans="2:30" ht="15.75">
      <c r="B29" s="260" t="s">
        <v>291</v>
      </c>
      <c r="C29" s="32" t="s">
        <v>368</v>
      </c>
      <c r="D29" s="297"/>
      <c r="E29" s="338"/>
      <c r="F29" s="216"/>
      <c r="G29" s="193"/>
      <c r="H29" s="193"/>
      <c r="I29" s="180"/>
      <c r="J29" s="180"/>
      <c r="K29" s="180"/>
      <c r="L29" s="180"/>
      <c r="M29" s="180"/>
      <c r="N29" s="180"/>
      <c r="O29" s="180"/>
      <c r="P29" s="180"/>
      <c r="Q29" s="180"/>
      <c r="R29" s="180"/>
      <c r="S29" s="180"/>
      <c r="T29" s="180"/>
      <c r="U29" s="180"/>
      <c r="V29" s="180"/>
      <c r="W29" s="180"/>
      <c r="X29" s="180"/>
      <c r="Y29" s="180"/>
      <c r="Z29" s="180"/>
      <c r="AA29" s="180"/>
      <c r="AB29" s="180"/>
      <c r="AC29" s="180">
        <v>0</v>
      </c>
      <c r="AD29" s="191">
        <v>0</v>
      </c>
    </row>
    <row r="30" spans="2:30" ht="15.75">
      <c r="B30" s="260" t="s">
        <v>292</v>
      </c>
      <c r="C30" s="32" t="s">
        <v>378</v>
      </c>
      <c r="D30" s="260"/>
      <c r="E30" s="32"/>
      <c r="F30" s="216"/>
      <c r="G30" s="193"/>
      <c r="H30" s="487">
        <v>-13636921</v>
      </c>
      <c r="I30" s="487">
        <v>-12815167.5</v>
      </c>
      <c r="J30" s="487">
        <f>+J28-J29</f>
        <v>-11485971.2</v>
      </c>
      <c r="K30" s="487">
        <f>+K28-K29</f>
        <v>-14297586</v>
      </c>
      <c r="L30" s="487">
        <f>+L28-L29</f>
        <v>-9376121</v>
      </c>
      <c r="M30" s="487"/>
      <c r="N30" s="487"/>
      <c r="O30" s="487"/>
      <c r="P30" s="487"/>
      <c r="Q30" s="487"/>
      <c r="R30" s="487"/>
      <c r="S30" s="487"/>
      <c r="T30" s="487"/>
      <c r="U30" s="487"/>
      <c r="V30" s="487"/>
      <c r="W30" s="487"/>
      <c r="X30" s="487"/>
      <c r="Y30" s="487"/>
      <c r="Z30" s="487"/>
      <c r="AA30" s="487"/>
      <c r="AB30" s="175">
        <f>+H30+J30+L30+N30+P30+R30+T30+V30+X30+Z30</f>
        <v>-34499013.2</v>
      </c>
      <c r="AC30" s="175">
        <f>+I30+K30+M30+O30+Q30+S30+U30+W30+Y30+AA30</f>
        <v>-27112753.5</v>
      </c>
      <c r="AD30" s="487" t="e">
        <f>+AD28-AD29</f>
        <v>#REF!</v>
      </c>
    </row>
    <row r="31" spans="2:29" ht="15.75">
      <c r="B31" s="260" t="s">
        <v>194</v>
      </c>
      <c r="C31" s="32" t="s">
        <v>369</v>
      </c>
      <c r="D31" s="260"/>
      <c r="E31" s="32"/>
      <c r="F31" s="216"/>
      <c r="G31" s="193"/>
      <c r="H31" s="193"/>
      <c r="I31" s="180"/>
      <c r="J31" s="180"/>
      <c r="K31" s="180"/>
      <c r="L31" s="180"/>
      <c r="M31" s="180"/>
      <c r="N31" s="180"/>
      <c r="O31" s="180"/>
      <c r="P31" s="180"/>
      <c r="Q31" s="180"/>
      <c r="R31" s="180"/>
      <c r="S31" s="180"/>
      <c r="T31" s="180"/>
      <c r="U31" s="180"/>
      <c r="V31" s="180"/>
      <c r="W31" s="180"/>
      <c r="X31" s="180"/>
      <c r="Y31" s="180"/>
      <c r="Z31" s="180"/>
      <c r="AA31" s="180"/>
      <c r="AB31" s="180"/>
      <c r="AC31" s="180"/>
    </row>
    <row r="32" spans="2:30" ht="15.75">
      <c r="B32" s="250"/>
      <c r="C32" s="249" t="s">
        <v>241</v>
      </c>
      <c r="D32" s="297" t="s">
        <v>370</v>
      </c>
      <c r="E32" s="338"/>
      <c r="F32" s="216"/>
      <c r="G32" s="193"/>
      <c r="H32" s="193"/>
      <c r="I32" s="180"/>
      <c r="J32" s="180"/>
      <c r="K32" s="180">
        <v>0</v>
      </c>
      <c r="L32" s="180"/>
      <c r="M32" s="180"/>
      <c r="N32" s="180"/>
      <c r="O32" s="180"/>
      <c r="P32" s="180"/>
      <c r="Q32" s="180"/>
      <c r="R32" s="180"/>
      <c r="S32" s="180"/>
      <c r="T32" s="180"/>
      <c r="U32" s="180"/>
      <c r="V32" s="180"/>
      <c r="W32" s="180"/>
      <c r="X32" s="180"/>
      <c r="Y32" s="180"/>
      <c r="Z32" s="180"/>
      <c r="AA32" s="180"/>
      <c r="AB32" s="175">
        <f>H32+J32+L32+N32+P32+R32+T32+X32+Z32</f>
        <v>0</v>
      </c>
      <c r="AC32" s="175">
        <f>I32+K32+M32+O32+Q32+S32+U32+Y32+AA32</f>
        <v>0</v>
      </c>
      <c r="AD32" s="191">
        <v>27500000</v>
      </c>
    </row>
    <row r="33" spans="2:30" ht="15.75">
      <c r="B33" s="250"/>
      <c r="C33" s="249" t="s">
        <v>242</v>
      </c>
      <c r="D33" s="297" t="s">
        <v>371</v>
      </c>
      <c r="E33" s="338"/>
      <c r="F33" s="216"/>
      <c r="G33" s="193"/>
      <c r="H33" s="193"/>
      <c r="I33" s="180"/>
      <c r="J33" s="180"/>
      <c r="K33" s="180">
        <v>0</v>
      </c>
      <c r="L33" s="180"/>
      <c r="M33" s="180"/>
      <c r="N33" s="180"/>
      <c r="O33" s="180"/>
      <c r="P33" s="180"/>
      <c r="Q33" s="180"/>
      <c r="R33" s="180"/>
      <c r="S33" s="180"/>
      <c r="T33" s="180"/>
      <c r="U33" s="180"/>
      <c r="V33" s="180"/>
      <c r="W33" s="180"/>
      <c r="X33" s="180"/>
      <c r="Y33" s="180"/>
      <c r="Z33" s="180"/>
      <c r="AA33" s="180"/>
      <c r="AB33" s="175">
        <f>H33+J33+L33+N33+P33+R33+T33+X33+Z33</f>
        <v>0</v>
      </c>
      <c r="AC33" s="175">
        <f>I33+K33+M33+O33+Q33+S33+U33+Y33+AA33</f>
        <v>0</v>
      </c>
      <c r="AD33" s="191">
        <v>682000</v>
      </c>
    </row>
    <row r="34" spans="2:30" ht="15.75">
      <c r="B34" s="176"/>
      <c r="C34" s="249" t="s">
        <v>243</v>
      </c>
      <c r="D34" s="176" t="s">
        <v>372</v>
      </c>
      <c r="F34" s="216"/>
      <c r="G34" s="193"/>
      <c r="H34" s="193"/>
      <c r="I34" s="180"/>
      <c r="J34" s="180"/>
      <c r="K34" s="180"/>
      <c r="L34" s="180"/>
      <c r="M34" s="180"/>
      <c r="N34" s="180"/>
      <c r="O34" s="180"/>
      <c r="P34" s="180"/>
      <c r="Q34" s="180"/>
      <c r="R34" s="180"/>
      <c r="S34" s="180"/>
      <c r="T34" s="180"/>
      <c r="U34" s="180"/>
      <c r="V34" s="180"/>
      <c r="W34" s="180"/>
      <c r="X34" s="180"/>
      <c r="Y34" s="180"/>
      <c r="Z34" s="180"/>
      <c r="AA34" s="180"/>
      <c r="AB34" s="175">
        <f>+H34+J34+L34+N34+P34+R34+T34+V34+X34+Z34</f>
        <v>0</v>
      </c>
      <c r="AC34" s="175">
        <f>I34+K34+M34+O34+Q34+S34+U34+Y34+AA34</f>
        <v>0</v>
      </c>
      <c r="AD34" s="191">
        <v>0</v>
      </c>
    </row>
    <row r="35" spans="2:32" ht="15">
      <c r="B35" s="176"/>
      <c r="C35" s="488" t="s">
        <v>373</v>
      </c>
      <c r="F35" s="216"/>
      <c r="G35" s="193"/>
      <c r="H35" s="198">
        <v>0</v>
      </c>
      <c r="I35" s="198">
        <v>0</v>
      </c>
      <c r="J35" s="198"/>
      <c r="K35" s="198">
        <f>SUM(K32:K34)</f>
        <v>0</v>
      </c>
      <c r="L35" s="383">
        <f>SUM(L32:L34)</f>
        <v>0</v>
      </c>
      <c r="M35" s="399"/>
      <c r="N35" s="399"/>
      <c r="O35" s="399"/>
      <c r="P35" s="399"/>
      <c r="Q35" s="399"/>
      <c r="R35" s="399"/>
      <c r="S35" s="399"/>
      <c r="T35" s="399"/>
      <c r="U35" s="399"/>
      <c r="V35" s="399"/>
      <c r="W35" s="399"/>
      <c r="X35" s="399"/>
      <c r="Y35" s="399"/>
      <c r="Z35" s="399"/>
      <c r="AA35" s="399"/>
      <c r="AB35" s="387">
        <f>+H35+J35+L35+N35+P35+R35+T35+V35+X35+Z35</f>
        <v>0</v>
      </c>
      <c r="AC35" s="222">
        <f>+I35+K35+M35+O35+Q35+S35+U35+W35+Y35+AA35</f>
        <v>0</v>
      </c>
      <c r="AD35" s="489">
        <f>SUM(AD32:AD34)</f>
        <v>28182000</v>
      </c>
      <c r="AF35" s="192"/>
    </row>
    <row r="36" spans="2:30" ht="15">
      <c r="B36" s="176"/>
      <c r="C36" s="130"/>
      <c r="F36" s="216"/>
      <c r="G36" s="193"/>
      <c r="H36" s="193"/>
      <c r="I36" s="180"/>
      <c r="J36" s="180"/>
      <c r="K36" s="180"/>
      <c r="L36" s="180"/>
      <c r="M36" s="180"/>
      <c r="N36" s="180"/>
      <c r="O36" s="180"/>
      <c r="P36" s="180"/>
      <c r="Q36" s="180"/>
      <c r="R36" s="180"/>
      <c r="S36" s="180"/>
      <c r="T36" s="180"/>
      <c r="U36" s="180"/>
      <c r="V36" s="180"/>
      <c r="W36" s="180"/>
      <c r="X36" s="180"/>
      <c r="Y36" s="180"/>
      <c r="Z36" s="180"/>
      <c r="AA36" s="180"/>
      <c r="AB36" s="180"/>
      <c r="AC36" s="487"/>
      <c r="AD36" s="487"/>
    </row>
    <row r="37" spans="2:31" ht="15.75">
      <c r="B37" s="260" t="s">
        <v>195</v>
      </c>
      <c r="C37" s="490" t="s">
        <v>379</v>
      </c>
      <c r="D37" s="32"/>
      <c r="E37" s="297"/>
      <c r="F37" s="216"/>
      <c r="G37" s="193"/>
      <c r="H37" s="487">
        <v>-13636921</v>
      </c>
      <c r="I37" s="487">
        <v>-12815167.5</v>
      </c>
      <c r="J37" s="487">
        <f>+J30-J35</f>
        <v>-11485971.2</v>
      </c>
      <c r="K37" s="487">
        <f>+K30-K35</f>
        <v>-14297586</v>
      </c>
      <c r="L37" s="487">
        <f>+L30-L35</f>
        <v>-9376121</v>
      </c>
      <c r="M37" s="487"/>
      <c r="N37" s="487"/>
      <c r="O37" s="487"/>
      <c r="P37" s="487"/>
      <c r="Q37" s="487"/>
      <c r="R37" s="487"/>
      <c r="S37" s="487"/>
      <c r="T37" s="487"/>
      <c r="U37" s="487"/>
      <c r="V37" s="487"/>
      <c r="W37" s="487"/>
      <c r="X37" s="487"/>
      <c r="Y37" s="487"/>
      <c r="Z37" s="487"/>
      <c r="AA37" s="487"/>
      <c r="AB37" s="175">
        <f>+H37+J37+L37+N37+P37+R37+T37+V37+X37+Z37</f>
        <v>-34499013.2</v>
      </c>
      <c r="AC37" s="175">
        <f>+I37+K37+M37+O37+Q37+S37+U37+W37+Y37+AA37</f>
        <v>-27112753.5</v>
      </c>
      <c r="AD37" s="487" t="e">
        <f>+AD30-AD35</f>
        <v>#REF!</v>
      </c>
      <c r="AE37" s="192"/>
    </row>
    <row r="38" spans="2:30" ht="15.75">
      <c r="B38" s="260" t="s">
        <v>196</v>
      </c>
      <c r="C38" s="32" t="s">
        <v>380</v>
      </c>
      <c r="D38" s="249"/>
      <c r="E38" s="297"/>
      <c r="F38" s="216"/>
      <c r="G38" s="193"/>
      <c r="H38" s="193"/>
      <c r="I38" s="180"/>
      <c r="J38" s="180"/>
      <c r="K38" s="180">
        <v>0</v>
      </c>
      <c r="L38" s="180"/>
      <c r="M38" s="180"/>
      <c r="N38" s="180"/>
      <c r="O38" s="180"/>
      <c r="P38" s="180"/>
      <c r="Q38" s="180"/>
      <c r="R38" s="180"/>
      <c r="S38" s="180"/>
      <c r="T38" s="180"/>
      <c r="U38" s="180"/>
      <c r="V38" s="180"/>
      <c r="W38" s="180"/>
      <c r="X38" s="180"/>
      <c r="Y38" s="180"/>
      <c r="Z38" s="180"/>
      <c r="AA38" s="180"/>
      <c r="AB38" s="175">
        <f aca="true" t="shared" si="0" ref="AB38:AC40">H38+J38+L38+N38+P38+R38+T38+X38+Z38</f>
        <v>0</v>
      </c>
      <c r="AC38" s="175">
        <f t="shared" si="0"/>
        <v>0</v>
      </c>
      <c r="AD38" s="191">
        <v>0</v>
      </c>
    </row>
    <row r="39" spans="2:30" ht="15.75">
      <c r="B39" s="260" t="s">
        <v>197</v>
      </c>
      <c r="C39" s="32" t="s">
        <v>381</v>
      </c>
      <c r="D39" s="249"/>
      <c r="E39" s="297"/>
      <c r="F39" s="216"/>
      <c r="G39" s="193"/>
      <c r="H39" s="193"/>
      <c r="I39" s="180"/>
      <c r="J39" s="180"/>
      <c r="K39" s="180">
        <v>0</v>
      </c>
      <c r="L39" s="180"/>
      <c r="M39" s="180"/>
      <c r="N39" s="180"/>
      <c r="O39" s="180"/>
      <c r="P39" s="180"/>
      <c r="Q39" s="180"/>
      <c r="R39" s="180"/>
      <c r="S39" s="180"/>
      <c r="T39" s="180"/>
      <c r="U39" s="180"/>
      <c r="V39" s="180"/>
      <c r="W39" s="180"/>
      <c r="X39" s="180"/>
      <c r="Y39" s="180"/>
      <c r="Z39" s="180"/>
      <c r="AA39" s="180"/>
      <c r="AB39" s="175">
        <f t="shared" si="0"/>
        <v>0</v>
      </c>
      <c r="AC39" s="175">
        <f t="shared" si="0"/>
        <v>0</v>
      </c>
      <c r="AD39" s="191">
        <v>0</v>
      </c>
    </row>
    <row r="40" spans="2:30" ht="15.75">
      <c r="B40" s="260" t="s">
        <v>198</v>
      </c>
      <c r="C40" s="32" t="s">
        <v>382</v>
      </c>
      <c r="D40" s="249"/>
      <c r="E40" s="297"/>
      <c r="F40" s="216"/>
      <c r="G40" s="193"/>
      <c r="H40" s="193"/>
      <c r="I40" s="180"/>
      <c r="J40" s="180"/>
      <c r="K40" s="180">
        <v>0</v>
      </c>
      <c r="L40" s="180"/>
      <c r="M40" s="180"/>
      <c r="N40" s="180"/>
      <c r="O40" s="180"/>
      <c r="P40" s="180"/>
      <c r="Q40" s="180"/>
      <c r="R40" s="180"/>
      <c r="S40" s="180"/>
      <c r="T40" s="180"/>
      <c r="U40" s="180"/>
      <c r="V40" s="180"/>
      <c r="W40" s="180"/>
      <c r="X40" s="180"/>
      <c r="Y40" s="180"/>
      <c r="Z40" s="180"/>
      <c r="AA40" s="180"/>
      <c r="AB40" s="175">
        <f t="shared" si="0"/>
        <v>0</v>
      </c>
      <c r="AC40" s="175">
        <f t="shared" si="0"/>
        <v>0</v>
      </c>
      <c r="AD40" s="191">
        <v>0</v>
      </c>
    </row>
    <row r="41" spans="2:30" ht="16.5" thickBot="1">
      <c r="B41" s="260" t="s">
        <v>199</v>
      </c>
      <c r="C41" s="32" t="s">
        <v>383</v>
      </c>
      <c r="D41" s="297"/>
      <c r="E41" s="297"/>
      <c r="F41" s="216"/>
      <c r="G41" s="193"/>
      <c r="H41" s="200">
        <v>-13636921</v>
      </c>
      <c r="I41" s="200">
        <v>-12815167.5</v>
      </c>
      <c r="J41" s="200">
        <f>+J37+J40</f>
        <v>-11485971.2</v>
      </c>
      <c r="K41" s="200">
        <f>+K37+K40</f>
        <v>-14297586</v>
      </c>
      <c r="L41" s="384">
        <f>+L37+L40</f>
        <v>-9376121</v>
      </c>
      <c r="M41" s="399"/>
      <c r="N41" s="399"/>
      <c r="O41" s="399"/>
      <c r="P41" s="399"/>
      <c r="Q41" s="399"/>
      <c r="R41" s="399"/>
      <c r="S41" s="399"/>
      <c r="T41" s="399"/>
      <c r="U41" s="399"/>
      <c r="V41" s="399"/>
      <c r="W41" s="399"/>
      <c r="X41" s="399"/>
      <c r="Y41" s="399"/>
      <c r="Z41" s="399"/>
      <c r="AA41" s="399"/>
      <c r="AB41" s="491">
        <f>+H41+J41+L41+N41+P41+R41+T41+V41+X41+Z41</f>
        <v>-34499013.2</v>
      </c>
      <c r="AC41" s="492">
        <f>+I41+K41+M41+O41+Q41+S41+U41+W41+Y41+AA41</f>
        <v>-27112753.5</v>
      </c>
      <c r="AD41" s="493" t="e">
        <f>+AD37+AD40</f>
        <v>#REF!</v>
      </c>
    </row>
    <row r="42" spans="2:29" ht="16.5" thickTop="1">
      <c r="B42" s="260" t="s">
        <v>200</v>
      </c>
      <c r="C42" s="32" t="s">
        <v>384</v>
      </c>
      <c r="D42" s="373"/>
      <c r="E42" s="373"/>
      <c r="F42" s="216"/>
      <c r="G42" s="193"/>
      <c r="H42" s="193"/>
      <c r="I42" s="182"/>
      <c r="J42" s="182"/>
      <c r="K42" s="182"/>
      <c r="L42" s="182"/>
      <c r="M42" s="182"/>
      <c r="N42" s="182"/>
      <c r="O42" s="182"/>
      <c r="P42" s="182"/>
      <c r="Q42" s="182"/>
      <c r="R42" s="182"/>
      <c r="S42" s="182"/>
      <c r="T42" s="182"/>
      <c r="U42" s="182"/>
      <c r="V42" s="182"/>
      <c r="W42" s="182"/>
      <c r="X42" s="182"/>
      <c r="Y42" s="182"/>
      <c r="Z42" s="182"/>
      <c r="AA42" s="182"/>
      <c r="AB42" s="182"/>
      <c r="AC42" s="182"/>
    </row>
    <row r="43" spans="2:30" ht="15.75">
      <c r="B43" s="297"/>
      <c r="C43" s="249" t="s">
        <v>241</v>
      </c>
      <c r="D43" s="494" t="s">
        <v>385</v>
      </c>
      <c r="E43" s="373"/>
      <c r="F43" s="216"/>
      <c r="G43" s="193"/>
      <c r="H43" s="193"/>
      <c r="I43" s="182"/>
      <c r="J43" s="182"/>
      <c r="K43" s="182"/>
      <c r="L43" s="182"/>
      <c r="M43" s="182"/>
      <c r="N43" s="182"/>
      <c r="O43" s="182"/>
      <c r="P43" s="182"/>
      <c r="Q43" s="182"/>
      <c r="R43" s="182"/>
      <c r="S43" s="182"/>
      <c r="T43" s="182"/>
      <c r="U43" s="182"/>
      <c r="V43" s="182"/>
      <c r="W43" s="182"/>
      <c r="X43" s="182"/>
      <c r="Y43" s="182"/>
      <c r="Z43" s="182"/>
      <c r="AA43" s="182"/>
      <c r="AB43" s="182">
        <v>294</v>
      </c>
      <c r="AC43" s="182"/>
      <c r="AD43" s="182" t="e">
        <f>AD41/628251</f>
        <v>#REF!</v>
      </c>
    </row>
    <row r="44" spans="2:30" ht="15.75">
      <c r="B44" s="297"/>
      <c r="C44" s="249" t="s">
        <v>242</v>
      </c>
      <c r="D44" s="297" t="s">
        <v>386</v>
      </c>
      <c r="E44" s="297"/>
      <c r="F44" s="216"/>
      <c r="G44" s="193"/>
      <c r="H44" s="193"/>
      <c r="I44" s="182"/>
      <c r="J44" s="182"/>
      <c r="K44" s="182"/>
      <c r="L44" s="182"/>
      <c r="M44" s="182"/>
      <c r="N44" s="182"/>
      <c r="O44" s="182"/>
      <c r="P44" s="182"/>
      <c r="Q44" s="182"/>
      <c r="R44" s="182"/>
      <c r="S44" s="182"/>
      <c r="T44" s="182"/>
      <c r="U44" s="182"/>
      <c r="V44" s="182"/>
      <c r="W44" s="182"/>
      <c r="X44" s="182"/>
      <c r="Y44" s="182"/>
      <c r="Z44" s="182"/>
      <c r="AA44" s="182"/>
      <c r="AB44" s="182">
        <v>294</v>
      </c>
      <c r="AC44" s="182"/>
      <c r="AD44" s="182" t="e">
        <f>$AD$41/628251</f>
        <v>#REF!</v>
      </c>
    </row>
    <row r="45" spans="6:29" ht="15">
      <c r="F45" s="202"/>
      <c r="G45" s="202"/>
      <c r="H45" s="202"/>
      <c r="I45" s="183"/>
      <c r="J45" s="183"/>
      <c r="K45" s="183"/>
      <c r="L45" s="183"/>
      <c r="M45" s="183"/>
      <c r="N45" s="183"/>
      <c r="O45" s="183"/>
      <c r="P45" s="183"/>
      <c r="Q45" s="183"/>
      <c r="R45" s="183"/>
      <c r="S45" s="183"/>
      <c r="T45" s="183"/>
      <c r="U45" s="183"/>
      <c r="V45" s="183"/>
      <c r="W45" s="183"/>
      <c r="X45" s="183"/>
      <c r="Y45" s="183"/>
      <c r="Z45" s="183"/>
      <c r="AA45" s="183"/>
      <c r="AB45" s="183"/>
      <c r="AC45" s="183"/>
    </row>
    <row r="46" spans="2:31" ht="15">
      <c r="B46" s="351" t="s">
        <v>188</v>
      </c>
      <c r="C46" s="351"/>
      <c r="D46" s="352"/>
      <c r="E46" s="353"/>
      <c r="F46" s="353"/>
      <c r="G46" s="176"/>
      <c r="H46" s="176"/>
      <c r="I46" s="462"/>
      <c r="J46" s="462"/>
      <c r="K46" s="204"/>
      <c r="L46" s="204"/>
      <c r="M46" s="204"/>
      <c r="N46" s="204"/>
      <c r="O46" s="264"/>
      <c r="P46" s="264"/>
      <c r="Q46" s="264"/>
      <c r="R46" s="264"/>
      <c r="S46" s="264"/>
      <c r="T46" s="264"/>
      <c r="U46" s="264"/>
      <c r="V46" s="264"/>
      <c r="W46" s="264"/>
      <c r="X46" s="264"/>
      <c r="Y46" s="264"/>
      <c r="Z46" s="264"/>
      <c r="AA46" s="264"/>
      <c r="AB46" s="264"/>
      <c r="AC46" s="264"/>
      <c r="AD46" s="264"/>
      <c r="AE46" s="375"/>
    </row>
    <row r="47" spans="2:31" ht="15" customHeight="1">
      <c r="B47" s="541" t="s">
        <v>396</v>
      </c>
      <c r="C47" s="541"/>
      <c r="D47" s="541"/>
      <c r="E47" s="541"/>
      <c r="F47" s="541"/>
      <c r="G47" s="554" t="s">
        <v>395</v>
      </c>
      <c r="H47" s="419"/>
      <c r="I47" s="206"/>
      <c r="J47" s="206"/>
      <c r="K47" s="204"/>
      <c r="L47" s="204"/>
      <c r="M47" s="204"/>
      <c r="N47" s="204"/>
      <c r="O47" s="264"/>
      <c r="P47" s="264"/>
      <c r="Q47" s="264"/>
      <c r="R47" s="264"/>
      <c r="S47" s="264"/>
      <c r="T47" s="264"/>
      <c r="U47" s="264"/>
      <c r="V47" s="264"/>
      <c r="W47" s="264"/>
      <c r="X47" s="264"/>
      <c r="Y47" s="264"/>
      <c r="Z47" s="264"/>
      <c r="AA47" s="264"/>
      <c r="AB47" s="264"/>
      <c r="AC47" s="264"/>
      <c r="AD47" s="264"/>
      <c r="AE47" s="375"/>
    </row>
    <row r="48" spans="2:31" ht="15.75" thickBot="1">
      <c r="B48" s="542"/>
      <c r="C48" s="542"/>
      <c r="D48" s="542"/>
      <c r="E48" s="542"/>
      <c r="F48" s="542"/>
      <c r="G48" s="554"/>
      <c r="H48" s="419"/>
      <c r="I48" s="204"/>
      <c r="J48" s="204"/>
      <c r="K48" s="204"/>
      <c r="L48" s="204"/>
      <c r="M48" s="204"/>
      <c r="N48" s="204"/>
      <c r="O48" s="264"/>
      <c r="P48" s="264"/>
      <c r="Q48" s="264"/>
      <c r="R48" s="264"/>
      <c r="S48" s="264"/>
      <c r="T48" s="264"/>
      <c r="U48" s="264"/>
      <c r="V48" s="264"/>
      <c r="W48" s="264"/>
      <c r="X48" s="264"/>
      <c r="Y48" s="264"/>
      <c r="Z48" s="264"/>
      <c r="AA48" s="264"/>
      <c r="AB48" s="264"/>
      <c r="AC48" s="264"/>
      <c r="AD48" s="264"/>
      <c r="AE48" s="375"/>
    </row>
    <row r="49" spans="2:31" ht="16.5" thickTop="1">
      <c r="B49" s="229"/>
      <c r="C49" s="230"/>
      <c r="D49" s="230"/>
      <c r="E49" s="231"/>
      <c r="F49" s="204"/>
      <c r="G49" s="204"/>
      <c r="H49" s="204"/>
      <c r="I49" s="204"/>
      <c r="J49" s="204"/>
      <c r="K49" s="204"/>
      <c r="L49" s="204"/>
      <c r="M49" s="204"/>
      <c r="N49" s="204"/>
      <c r="O49" s="264"/>
      <c r="P49" s="264"/>
      <c r="Q49" s="264"/>
      <c r="R49" s="264"/>
      <c r="S49" s="264"/>
      <c r="T49" s="264"/>
      <c r="U49" s="264"/>
      <c r="V49" s="264"/>
      <c r="W49" s="264"/>
      <c r="X49" s="264"/>
      <c r="Y49" s="264"/>
      <c r="Z49" s="264"/>
      <c r="AA49" s="264"/>
      <c r="AB49" s="264"/>
      <c r="AC49" s="264"/>
      <c r="AD49" s="264"/>
      <c r="AE49" s="375"/>
    </row>
    <row r="50" spans="2:31" ht="15.75">
      <c r="B50" s="33"/>
      <c r="C50" s="230"/>
      <c r="D50" s="232"/>
      <c r="E50" s="233" t="s">
        <v>189</v>
      </c>
      <c r="F50" s="234"/>
      <c r="G50" s="207"/>
      <c r="H50" s="207"/>
      <c r="I50" s="207"/>
      <c r="J50" s="207"/>
      <c r="K50" s="207"/>
      <c r="L50" s="207"/>
      <c r="M50" s="207"/>
      <c r="N50" s="207"/>
      <c r="O50" s="264"/>
      <c r="P50" s="264"/>
      <c r="Q50" s="264"/>
      <c r="R50" s="264"/>
      <c r="S50" s="264"/>
      <c r="T50" s="264"/>
      <c r="U50" s="264"/>
      <c r="V50" s="264"/>
      <c r="W50" s="264"/>
      <c r="X50" s="264"/>
      <c r="Y50" s="264"/>
      <c r="Z50" s="264"/>
      <c r="AA50" s="264"/>
      <c r="AB50" s="264"/>
      <c r="AC50" s="264"/>
      <c r="AD50" s="264"/>
      <c r="AE50" s="375"/>
    </row>
    <row r="51" spans="1:31" ht="15.75">
      <c r="A51" s="486"/>
      <c r="B51" s="355"/>
      <c r="C51" s="463"/>
      <c r="D51" s="237"/>
      <c r="E51" s="238"/>
      <c r="F51" s="361"/>
      <c r="G51" s="361"/>
      <c r="H51" s="361"/>
      <c r="I51" s="361"/>
      <c r="J51" s="361"/>
      <c r="K51" s="361"/>
      <c r="L51" s="361"/>
      <c r="M51" s="361"/>
      <c r="N51" s="361"/>
      <c r="O51" s="463"/>
      <c r="P51" s="463"/>
      <c r="Q51" s="463"/>
      <c r="R51" s="463"/>
      <c r="S51" s="463"/>
      <c r="T51" s="463"/>
      <c r="U51" s="463"/>
      <c r="V51" s="463"/>
      <c r="W51" s="463"/>
      <c r="X51" s="463"/>
      <c r="Y51" s="463"/>
      <c r="Z51" s="463"/>
      <c r="AA51" s="463"/>
      <c r="AB51" s="463"/>
      <c r="AC51" s="463"/>
      <c r="AD51" s="463"/>
      <c r="AE51" s="375"/>
    </row>
    <row r="52" spans="1:31" ht="15">
      <c r="A52" s="495"/>
      <c r="B52" s="264"/>
      <c r="C52" s="237"/>
      <c r="D52" s="355"/>
      <c r="E52" s="238"/>
      <c r="F52" s="361"/>
      <c r="G52" s="361"/>
      <c r="H52" s="361"/>
      <c r="I52" s="361"/>
      <c r="J52" s="361"/>
      <c r="K52" s="361"/>
      <c r="L52" s="361"/>
      <c r="M52" s="361"/>
      <c r="N52" s="361"/>
      <c r="O52" s="463"/>
      <c r="P52" s="463"/>
      <c r="Q52" s="463"/>
      <c r="R52" s="463"/>
      <c r="S52" s="463"/>
      <c r="T52" s="463"/>
      <c r="U52" s="463"/>
      <c r="V52" s="463"/>
      <c r="W52" s="463"/>
      <c r="X52" s="463"/>
      <c r="Y52" s="463"/>
      <c r="Z52" s="463"/>
      <c r="AA52" s="463"/>
      <c r="AB52" s="463"/>
      <c r="AC52" s="463"/>
      <c r="AD52" s="463"/>
      <c r="AE52" s="375"/>
    </row>
    <row r="53" spans="1:31" ht="15.75">
      <c r="A53" s="33"/>
      <c r="B53" s="264"/>
      <c r="C53" s="237"/>
      <c r="D53" s="355"/>
      <c r="E53" s="238"/>
      <c r="F53" s="361"/>
      <c r="G53" s="361"/>
      <c r="H53" s="361"/>
      <c r="I53" s="361"/>
      <c r="J53" s="361"/>
      <c r="K53" s="361"/>
      <c r="L53" s="361"/>
      <c r="M53" s="361"/>
      <c r="N53" s="361"/>
      <c r="O53" s="463"/>
      <c r="P53" s="463"/>
      <c r="Q53" s="463"/>
      <c r="R53" s="463"/>
      <c r="S53" s="463"/>
      <c r="T53" s="463"/>
      <c r="U53" s="463"/>
      <c r="V53" s="463"/>
      <c r="W53" s="463"/>
      <c r="X53" s="463"/>
      <c r="Y53" s="463"/>
      <c r="Z53" s="463"/>
      <c r="AA53" s="463"/>
      <c r="AB53" s="463"/>
      <c r="AC53" s="463"/>
      <c r="AD53" s="463"/>
      <c r="AE53" s="375"/>
    </row>
    <row r="54" spans="1:31" ht="15.75">
      <c r="A54" s="33"/>
      <c r="B54" s="261"/>
      <c r="C54" s="237"/>
      <c r="D54" s="355"/>
      <c r="E54" s="238"/>
      <c r="F54" s="361"/>
      <c r="G54" s="361"/>
      <c r="H54" s="361"/>
      <c r="I54" s="361"/>
      <c r="J54" s="361"/>
      <c r="K54" s="361"/>
      <c r="L54" s="361"/>
      <c r="M54" s="361"/>
      <c r="N54" s="361"/>
      <c r="O54" s="464"/>
      <c r="P54" s="464"/>
      <c r="Q54" s="464"/>
      <c r="R54" s="464"/>
      <c r="S54" s="464"/>
      <c r="T54" s="464"/>
      <c r="U54" s="464"/>
      <c r="V54" s="464"/>
      <c r="W54" s="464"/>
      <c r="X54" s="464"/>
      <c r="Y54" s="464"/>
      <c r="Z54" s="464"/>
      <c r="AA54" s="464"/>
      <c r="AB54" s="464"/>
      <c r="AC54" s="464"/>
      <c r="AD54" s="464"/>
      <c r="AE54" s="496"/>
    </row>
    <row r="55" spans="1:30" ht="15">
      <c r="A55" s="291"/>
      <c r="B55" s="358"/>
      <c r="C55" s="464"/>
      <c r="D55" s="237"/>
      <c r="E55" s="358"/>
      <c r="F55" s="361"/>
      <c r="G55" s="259"/>
      <c r="H55" s="259"/>
      <c r="I55" s="259"/>
      <c r="J55" s="259"/>
      <c r="K55" s="259"/>
      <c r="L55" s="259"/>
      <c r="M55" s="210"/>
      <c r="N55" s="210"/>
      <c r="O55" s="464"/>
      <c r="P55" s="464"/>
      <c r="Q55" s="464"/>
      <c r="R55" s="464"/>
      <c r="S55" s="464"/>
      <c r="T55" s="464"/>
      <c r="U55" s="464"/>
      <c r="V55" s="464"/>
      <c r="W55" s="464"/>
      <c r="X55" s="464"/>
      <c r="Y55" s="464"/>
      <c r="Z55" s="464"/>
      <c r="AA55" s="464"/>
      <c r="AB55" s="464"/>
      <c r="AC55" s="464"/>
      <c r="AD55" s="358" t="s">
        <v>190</v>
      </c>
    </row>
    <row r="56" spans="1:30" ht="15">
      <c r="A56" s="424"/>
      <c r="B56" s="358"/>
      <c r="C56" s="464"/>
      <c r="D56" s="237"/>
      <c r="E56" s="358"/>
      <c r="G56" s="259"/>
      <c r="H56" s="259"/>
      <c r="I56" s="259"/>
      <c r="J56" s="259"/>
      <c r="K56" s="259"/>
      <c r="L56" s="259"/>
      <c r="M56" s="210"/>
      <c r="N56" s="210"/>
      <c r="O56" s="464"/>
      <c r="P56" s="464"/>
      <c r="Q56" s="464"/>
      <c r="R56" s="464"/>
      <c r="S56" s="464"/>
      <c r="T56" s="464"/>
      <c r="U56" s="464"/>
      <c r="V56" s="464"/>
      <c r="W56" s="464"/>
      <c r="X56" s="464"/>
      <c r="Y56" s="464"/>
      <c r="Z56" s="464"/>
      <c r="AA56" s="464"/>
      <c r="AB56" s="464"/>
      <c r="AC56" s="464"/>
      <c r="AD56" s="362" t="s">
        <v>191</v>
      </c>
    </row>
    <row r="57" spans="1:31" ht="15.75">
      <c r="A57" s="32"/>
      <c r="B57" s="261"/>
      <c r="C57" s="237"/>
      <c r="D57" s="362"/>
      <c r="E57" s="358"/>
      <c r="F57" s="210"/>
      <c r="G57" s="362"/>
      <c r="H57" s="362"/>
      <c r="I57" s="362"/>
      <c r="J57" s="362"/>
      <c r="K57" s="210"/>
      <c r="L57" s="210"/>
      <c r="M57" s="362"/>
      <c r="N57" s="362"/>
      <c r="O57" s="464"/>
      <c r="P57" s="464"/>
      <c r="Q57" s="464"/>
      <c r="R57" s="464"/>
      <c r="S57" s="464"/>
      <c r="T57" s="464"/>
      <c r="U57" s="464"/>
      <c r="V57" s="464"/>
      <c r="W57" s="464"/>
      <c r="X57" s="464"/>
      <c r="Y57" s="464"/>
      <c r="Z57" s="464"/>
      <c r="AA57" s="464"/>
      <c r="AB57" s="464"/>
      <c r="AC57" s="464"/>
      <c r="AD57" s="464"/>
      <c r="AE57" s="496"/>
    </row>
    <row r="58" spans="2:31" ht="15">
      <c r="B58" s="261"/>
      <c r="C58" s="237"/>
      <c r="D58" s="362"/>
      <c r="E58" s="358"/>
      <c r="F58" s="210"/>
      <c r="G58" s="362"/>
      <c r="H58" s="362"/>
      <c r="I58" s="362"/>
      <c r="J58" s="362"/>
      <c r="K58" s="210"/>
      <c r="L58" s="210"/>
      <c r="M58" s="362"/>
      <c r="N58" s="362"/>
      <c r="O58" s="464"/>
      <c r="P58" s="464"/>
      <c r="Q58" s="464"/>
      <c r="R58" s="464"/>
      <c r="S58" s="464"/>
      <c r="T58" s="464"/>
      <c r="U58" s="464"/>
      <c r="V58" s="464"/>
      <c r="W58" s="464"/>
      <c r="X58" s="464"/>
      <c r="Y58" s="464"/>
      <c r="Z58" s="464"/>
      <c r="AA58" s="464"/>
      <c r="AB58" s="464"/>
      <c r="AC58" s="464"/>
      <c r="AD58" s="464"/>
      <c r="AE58" s="496"/>
    </row>
    <row r="59" spans="2:31" ht="15">
      <c r="B59" s="261"/>
      <c r="C59" s="237"/>
      <c r="D59" s="355"/>
      <c r="E59" s="362"/>
      <c r="F59" s="362"/>
      <c r="G59" s="362"/>
      <c r="H59" s="362"/>
      <c r="I59" s="362"/>
      <c r="J59" s="362"/>
      <c r="K59" s="362"/>
      <c r="L59" s="362"/>
      <c r="M59" s="362"/>
      <c r="N59" s="362"/>
      <c r="O59" s="464"/>
      <c r="P59" s="464"/>
      <c r="Q59" s="464"/>
      <c r="R59" s="464"/>
      <c r="S59" s="464"/>
      <c r="T59" s="464"/>
      <c r="U59" s="464"/>
      <c r="V59" s="464"/>
      <c r="W59" s="464"/>
      <c r="X59" s="464"/>
      <c r="Y59" s="464"/>
      <c r="Z59" s="464"/>
      <c r="AA59" s="464"/>
      <c r="AB59" s="464"/>
      <c r="AC59" s="464"/>
      <c r="AD59" s="464"/>
      <c r="AE59" s="496"/>
    </row>
    <row r="60" spans="2:31" ht="15">
      <c r="B60" s="355"/>
      <c r="C60" s="237"/>
      <c r="E60" s="238"/>
      <c r="F60" s="361"/>
      <c r="G60" s="361"/>
      <c r="H60" s="361"/>
      <c r="I60" s="361"/>
      <c r="J60" s="361"/>
      <c r="K60" s="361"/>
      <c r="L60" s="361"/>
      <c r="M60" s="361"/>
      <c r="N60" s="361"/>
      <c r="O60" s="464"/>
      <c r="P60" s="464"/>
      <c r="Q60" s="464"/>
      <c r="R60" s="464"/>
      <c r="S60" s="464"/>
      <c r="T60" s="464"/>
      <c r="U60" s="464"/>
      <c r="V60" s="464"/>
      <c r="W60" s="464"/>
      <c r="X60" s="464"/>
      <c r="Y60" s="464"/>
      <c r="Z60" s="464"/>
      <c r="AA60" s="464"/>
      <c r="AB60" s="464"/>
      <c r="AC60" s="464"/>
      <c r="AD60" s="464"/>
      <c r="AE60" s="496"/>
    </row>
    <row r="61" spans="2:31" ht="15">
      <c r="B61" s="355"/>
      <c r="C61" s="237"/>
      <c r="E61" s="238"/>
      <c r="F61" s="361"/>
      <c r="G61" s="361"/>
      <c r="H61" s="361"/>
      <c r="I61" s="361"/>
      <c r="J61" s="361"/>
      <c r="K61" s="361"/>
      <c r="L61" s="361"/>
      <c r="M61" s="361"/>
      <c r="N61" s="361"/>
      <c r="O61" s="464"/>
      <c r="P61" s="464"/>
      <c r="Q61" s="464"/>
      <c r="R61" s="464"/>
      <c r="S61" s="464"/>
      <c r="T61" s="464"/>
      <c r="U61" s="464"/>
      <c r="V61" s="464"/>
      <c r="W61" s="464"/>
      <c r="X61" s="464"/>
      <c r="Y61" s="464"/>
      <c r="Z61" s="464"/>
      <c r="AA61" s="464"/>
      <c r="AB61" s="464"/>
      <c r="AC61" s="464"/>
      <c r="AD61" s="464"/>
      <c r="AE61" s="496"/>
    </row>
    <row r="62" spans="2:31" ht="15">
      <c r="B62" s="355"/>
      <c r="C62" s="237"/>
      <c r="E62" s="360"/>
      <c r="F62" s="361"/>
      <c r="G62" s="362"/>
      <c r="H62" s="362"/>
      <c r="I62" s="362"/>
      <c r="J62" s="362"/>
      <c r="K62" s="361"/>
      <c r="L62" s="361"/>
      <c r="M62" s="361"/>
      <c r="N62" s="361"/>
      <c r="O62" s="464"/>
      <c r="P62" s="464"/>
      <c r="Q62" s="464"/>
      <c r="R62" s="464"/>
      <c r="S62" s="464"/>
      <c r="T62" s="464"/>
      <c r="U62" s="464"/>
      <c r="V62" s="464"/>
      <c r="W62" s="464"/>
      <c r="X62" s="464"/>
      <c r="Y62" s="464"/>
      <c r="Z62" s="464"/>
      <c r="AA62" s="464"/>
      <c r="AB62" s="464"/>
      <c r="AC62" s="464"/>
      <c r="AD62" s="464"/>
      <c r="AE62" s="496"/>
    </row>
    <row r="63" spans="2:31" ht="15">
      <c r="B63" s="355"/>
      <c r="C63" s="237"/>
      <c r="E63" s="360"/>
      <c r="F63" s="361"/>
      <c r="G63" s="362"/>
      <c r="H63" s="362"/>
      <c r="I63" s="362"/>
      <c r="J63" s="362"/>
      <c r="K63" s="361"/>
      <c r="L63" s="361"/>
      <c r="M63" s="361"/>
      <c r="N63" s="361"/>
      <c r="O63" s="464"/>
      <c r="P63" s="464"/>
      <c r="Q63" s="464"/>
      <c r="R63" s="464"/>
      <c r="S63" s="464"/>
      <c r="T63" s="464"/>
      <c r="U63" s="464"/>
      <c r="V63" s="464"/>
      <c r="W63" s="464"/>
      <c r="X63" s="464"/>
      <c r="Y63" s="464"/>
      <c r="Z63" s="464"/>
      <c r="AA63" s="464"/>
      <c r="AB63" s="464"/>
      <c r="AC63" s="464"/>
      <c r="AD63" s="464"/>
      <c r="AE63" s="496"/>
    </row>
    <row r="64" spans="2:31" ht="15">
      <c r="B64" s="237"/>
      <c r="C64" s="355"/>
      <c r="E64" s="360"/>
      <c r="F64" s="361"/>
      <c r="G64" s="362"/>
      <c r="H64" s="362"/>
      <c r="I64" s="362"/>
      <c r="J64" s="362"/>
      <c r="K64" s="361"/>
      <c r="L64" s="361"/>
      <c r="M64" s="361"/>
      <c r="N64" s="361"/>
      <c r="O64" s="464"/>
      <c r="P64" s="464"/>
      <c r="Q64" s="464"/>
      <c r="R64" s="464"/>
      <c r="S64" s="464"/>
      <c r="T64" s="464"/>
      <c r="U64" s="464"/>
      <c r="V64" s="464"/>
      <c r="W64" s="464"/>
      <c r="X64" s="464"/>
      <c r="Y64" s="464"/>
      <c r="Z64" s="464"/>
      <c r="AA64" s="464"/>
      <c r="AB64" s="464"/>
      <c r="AC64" s="464"/>
      <c r="AD64" s="464"/>
      <c r="AE64" s="496"/>
    </row>
    <row r="65" spans="2:31" ht="15">
      <c r="B65" s="237"/>
      <c r="C65" s="355"/>
      <c r="E65" s="360"/>
      <c r="F65" s="361"/>
      <c r="G65" s="362"/>
      <c r="H65" s="362"/>
      <c r="I65" s="362"/>
      <c r="J65" s="362"/>
      <c r="K65" s="361"/>
      <c r="L65" s="361"/>
      <c r="M65" s="361"/>
      <c r="N65" s="361"/>
      <c r="O65" s="464"/>
      <c r="P65" s="464"/>
      <c r="Q65" s="464"/>
      <c r="R65" s="464"/>
      <c r="S65" s="464"/>
      <c r="T65" s="464"/>
      <c r="U65" s="464"/>
      <c r="V65" s="464"/>
      <c r="W65" s="464"/>
      <c r="X65" s="464"/>
      <c r="Y65" s="464"/>
      <c r="Z65" s="464"/>
      <c r="AA65" s="464"/>
      <c r="AB65" s="464"/>
      <c r="AC65" s="464"/>
      <c r="AD65" s="464"/>
      <c r="AE65" s="496"/>
    </row>
    <row r="66" spans="2:31" ht="15">
      <c r="B66" s="237"/>
      <c r="C66" s="355"/>
      <c r="E66" s="238"/>
      <c r="F66" s="361"/>
      <c r="G66" s="361"/>
      <c r="H66" s="361"/>
      <c r="I66" s="361"/>
      <c r="J66" s="361"/>
      <c r="K66" s="361"/>
      <c r="L66" s="361"/>
      <c r="M66" s="361"/>
      <c r="N66" s="361"/>
      <c r="O66" s="464"/>
      <c r="P66" s="464"/>
      <c r="Q66" s="464"/>
      <c r="R66" s="464"/>
      <c r="S66" s="464"/>
      <c r="T66" s="464"/>
      <c r="U66" s="464"/>
      <c r="V66" s="464"/>
      <c r="W66" s="464"/>
      <c r="X66" s="464"/>
      <c r="Y66" s="464"/>
      <c r="Z66" s="464"/>
      <c r="AA66" s="464"/>
      <c r="AB66" s="464"/>
      <c r="AC66" s="464"/>
      <c r="AD66" s="464"/>
      <c r="AE66" s="496"/>
    </row>
    <row r="67" spans="2:31" ht="15">
      <c r="B67" s="237"/>
      <c r="C67" s="465"/>
      <c r="E67" s="238"/>
      <c r="F67" s="210"/>
      <c r="G67" s="210"/>
      <c r="H67" s="210"/>
      <c r="I67" s="210"/>
      <c r="J67" s="210"/>
      <c r="K67" s="210"/>
      <c r="L67" s="210"/>
      <c r="M67" s="210"/>
      <c r="N67" s="210"/>
      <c r="O67" s="464"/>
      <c r="P67" s="464"/>
      <c r="Q67" s="464"/>
      <c r="R67" s="464"/>
      <c r="S67" s="464"/>
      <c r="T67" s="464"/>
      <c r="U67" s="464"/>
      <c r="V67" s="464"/>
      <c r="W67" s="464"/>
      <c r="X67" s="464"/>
      <c r="Y67" s="464"/>
      <c r="Z67" s="464"/>
      <c r="AA67" s="464"/>
      <c r="AB67" s="464"/>
      <c r="AC67" s="464"/>
      <c r="AD67" s="464"/>
      <c r="AE67" s="496"/>
    </row>
    <row r="68" spans="2:31" ht="15">
      <c r="B68" s="237"/>
      <c r="C68" s="466"/>
      <c r="E68" s="238"/>
      <c r="F68" s="210"/>
      <c r="G68" s="210"/>
      <c r="H68" s="210"/>
      <c r="I68" s="210"/>
      <c r="J68" s="210"/>
      <c r="K68" s="210"/>
      <c r="L68" s="210"/>
      <c r="M68" s="210"/>
      <c r="N68" s="210"/>
      <c r="O68" s="464"/>
      <c r="P68" s="464"/>
      <c r="Q68" s="464"/>
      <c r="R68" s="464"/>
      <c r="S68" s="464"/>
      <c r="T68" s="464"/>
      <c r="U68" s="464"/>
      <c r="V68" s="464"/>
      <c r="W68" s="464"/>
      <c r="X68" s="464"/>
      <c r="Y68" s="464"/>
      <c r="Z68" s="464"/>
      <c r="AA68" s="464"/>
      <c r="AB68" s="464"/>
      <c r="AC68" s="464"/>
      <c r="AD68" s="464"/>
      <c r="AE68" s="496"/>
    </row>
    <row r="69" spans="2:31" ht="15">
      <c r="B69" s="237"/>
      <c r="C69" s="355"/>
      <c r="E69" s="238"/>
      <c r="F69" s="210"/>
      <c r="G69" s="210"/>
      <c r="H69" s="210"/>
      <c r="I69" s="210"/>
      <c r="J69" s="210"/>
      <c r="K69" s="210"/>
      <c r="L69" s="210"/>
      <c r="M69" s="210"/>
      <c r="N69" s="210"/>
      <c r="O69" s="464"/>
      <c r="P69" s="464"/>
      <c r="Q69" s="464"/>
      <c r="R69" s="464"/>
      <c r="S69" s="464"/>
      <c r="T69" s="464"/>
      <c r="U69" s="464"/>
      <c r="V69" s="464"/>
      <c r="W69" s="464"/>
      <c r="X69" s="464"/>
      <c r="Y69" s="464"/>
      <c r="Z69" s="464"/>
      <c r="AA69" s="464"/>
      <c r="AB69" s="464"/>
      <c r="AC69" s="464"/>
      <c r="AD69" s="464"/>
      <c r="AE69" s="496"/>
    </row>
    <row r="70" spans="2:31" ht="15">
      <c r="B70" s="237"/>
      <c r="C70" s="355"/>
      <c r="E70" s="238"/>
      <c r="F70" s="210"/>
      <c r="G70" s="210"/>
      <c r="H70" s="210"/>
      <c r="I70" s="210"/>
      <c r="J70" s="210"/>
      <c r="K70" s="210"/>
      <c r="L70" s="210"/>
      <c r="M70" s="210"/>
      <c r="N70" s="210"/>
      <c r="O70" s="464"/>
      <c r="P70" s="464"/>
      <c r="Q70" s="464"/>
      <c r="R70" s="464"/>
      <c r="S70" s="464"/>
      <c r="T70" s="464"/>
      <c r="U70" s="464"/>
      <c r="V70" s="464"/>
      <c r="W70" s="464"/>
      <c r="X70" s="464"/>
      <c r="Y70" s="464"/>
      <c r="Z70" s="464"/>
      <c r="AA70" s="464"/>
      <c r="AB70" s="464"/>
      <c r="AC70" s="464"/>
      <c r="AD70" s="464"/>
      <c r="AE70" s="496"/>
    </row>
    <row r="71" spans="2:31" ht="15">
      <c r="B71" s="355"/>
      <c r="C71" s="237"/>
      <c r="E71" s="238"/>
      <c r="F71" s="210"/>
      <c r="G71" s="210"/>
      <c r="H71" s="210"/>
      <c r="I71" s="210"/>
      <c r="J71" s="210"/>
      <c r="K71" s="210"/>
      <c r="L71" s="210"/>
      <c r="M71" s="210"/>
      <c r="N71" s="210"/>
      <c r="O71" s="464"/>
      <c r="P71" s="464"/>
      <c r="Q71" s="464"/>
      <c r="R71" s="464"/>
      <c r="S71" s="464"/>
      <c r="T71" s="464"/>
      <c r="U71" s="464"/>
      <c r="V71" s="464"/>
      <c r="W71" s="464"/>
      <c r="X71" s="464"/>
      <c r="Y71" s="464"/>
      <c r="Z71" s="464"/>
      <c r="AA71" s="464"/>
      <c r="AB71" s="464"/>
      <c r="AC71" s="464"/>
      <c r="AD71" s="464"/>
      <c r="AE71" s="496"/>
    </row>
  </sheetData>
  <sheetProtection/>
  <mergeCells count="27">
    <mergeCell ref="B8:F8"/>
    <mergeCell ref="B47:F48"/>
    <mergeCell ref="G47:G48"/>
    <mergeCell ref="D16:F17"/>
    <mergeCell ref="G16:G17"/>
    <mergeCell ref="V16:V17"/>
    <mergeCell ref="X16:X17"/>
    <mergeCell ref="Z16:Z17"/>
    <mergeCell ref="N16:N17"/>
    <mergeCell ref="P16:P17"/>
    <mergeCell ref="R16:R17"/>
    <mergeCell ref="T16:T17"/>
    <mergeCell ref="W16:W17"/>
    <mergeCell ref="U16:U17"/>
    <mergeCell ref="S16:S17"/>
    <mergeCell ref="AD16:AD17"/>
    <mergeCell ref="AC16:AC17"/>
    <mergeCell ref="AA16:AA17"/>
    <mergeCell ref="Y16:Y17"/>
    <mergeCell ref="Q16:Q17"/>
    <mergeCell ref="O16:O17"/>
    <mergeCell ref="M16:M17"/>
    <mergeCell ref="L16:L17"/>
    <mergeCell ref="K16:K17"/>
    <mergeCell ref="J16:J17"/>
    <mergeCell ref="I16:I17"/>
    <mergeCell ref="H16:H17"/>
  </mergeCells>
  <printOptions horizontalCentered="1"/>
  <pageMargins left="0.3" right="0.55" top="0.66" bottom="0.5" header="0" footer="0"/>
  <pageSetup fitToHeight="1" fitToWidth="1" horizontalDpi="600" verticalDpi="600" orientation="landscape" paperSize="5"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2013-07-31T04:32:31Z</cp:lastPrinted>
  <dcterms:created xsi:type="dcterms:W3CDTF">2006-09-16T00:00:00Z</dcterms:created>
  <dcterms:modified xsi:type="dcterms:W3CDTF">2013-11-13T09:27:06Z</dcterms:modified>
  <cp:category/>
  <cp:version/>
  <cp:contentType/>
  <cp:contentStatus/>
</cp:coreProperties>
</file>