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DTTDC12</author>
  </authors>
  <commentList>
    <comment ref="B13" authorId="0">
      <text>
        <r>
          <rPr>
            <b/>
            <sz val="8"/>
            <rFont val="Tahoma"/>
            <family val="0"/>
          </rPr>
          <t>DTTDC12: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DTTDC12: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<sst xmlns="http://schemas.openxmlformats.org/spreadsheetml/2006/main" count="107" uniqueCount="106">
  <si>
    <t>Delhi Tourism &amp; Transpotation Development Corporation (DTTDC)</t>
  </si>
  <si>
    <t>PARTICULARS</t>
  </si>
  <si>
    <t>Income From Operation</t>
  </si>
  <si>
    <t>(a)Net sales/ income from operation</t>
  </si>
  <si>
    <t>Expenses</t>
  </si>
  <si>
    <t>Total Expenses</t>
  </si>
  <si>
    <t>(a) Interest Income</t>
  </si>
  <si>
    <t>(b) Other</t>
  </si>
  <si>
    <t>Total</t>
  </si>
  <si>
    <t>(b)Purchase of stock in trade</t>
  </si>
  <si>
    <t>(c)Change in Inventory of Stock in Trade</t>
  </si>
  <si>
    <t>(d)Employee benefit Expenses</t>
  </si>
  <si>
    <t xml:space="preserve">Profit/(loss) From Operation Before Other </t>
  </si>
  <si>
    <t>Other Income</t>
  </si>
  <si>
    <t>Profit /(Loss) From Ordinary Activities</t>
  </si>
  <si>
    <t>Paid up Equity Share Capital</t>
  </si>
  <si>
    <t xml:space="preserve">Income </t>
  </si>
  <si>
    <t>Before Finance Cost And Exceptional Item</t>
  </si>
  <si>
    <t>Finance Cost</t>
  </si>
  <si>
    <t>Profit /(Loss) From Ordinary Activities After Finance</t>
  </si>
  <si>
    <t>Cost But Before Exceptional Item</t>
  </si>
  <si>
    <t>Exceptional Item</t>
  </si>
  <si>
    <t>Profit /(Loss) From Ordinary Activities Before Tax</t>
  </si>
  <si>
    <t>Tax Expense</t>
  </si>
  <si>
    <t>(a)Current Tax</t>
  </si>
  <si>
    <t>(b)Deffered Tax</t>
  </si>
  <si>
    <t>Net Profit /(Loss) From Ordinary Activities</t>
  </si>
  <si>
    <t>Earning Per Share</t>
  </si>
  <si>
    <t>EQUITY AND LIABILITIES</t>
  </si>
  <si>
    <t>Shareholder Fund</t>
  </si>
  <si>
    <t>(b)Reserve And Surplus</t>
  </si>
  <si>
    <t>Non Current Liabilities</t>
  </si>
  <si>
    <t>(a)Long Term Borrowing</t>
  </si>
  <si>
    <t>(b)Deffered Tax Liabilities</t>
  </si>
  <si>
    <t>(d)Long Term Provision</t>
  </si>
  <si>
    <t>Current Liabilities</t>
  </si>
  <si>
    <t>(c)Other Long Term Liabilities</t>
  </si>
  <si>
    <t>(a)Short Term Borrowing</t>
  </si>
  <si>
    <t>(b) Trade Payable</t>
  </si>
  <si>
    <t>(d) Short Term Provision</t>
  </si>
  <si>
    <t>Total Equity And Liabilities</t>
  </si>
  <si>
    <t>ASSETS</t>
  </si>
  <si>
    <t>Non Current Assets</t>
  </si>
  <si>
    <t>(b) Defferd Tax Assets</t>
  </si>
  <si>
    <t>( c)Long Term Loan And Advances</t>
  </si>
  <si>
    <t>(d) Other Non Current Assets</t>
  </si>
  <si>
    <t>Sub Total  non current assets</t>
  </si>
  <si>
    <t>current assets</t>
  </si>
  <si>
    <t>(a)Inventories</t>
  </si>
  <si>
    <t>(b)Trade Receivable</t>
  </si>
  <si>
    <t>( c)Cash and Cash Equivalent</t>
  </si>
  <si>
    <t>(d)short Term Loan And Advances</t>
  </si>
  <si>
    <t>(e)Other Current Asset</t>
  </si>
  <si>
    <t>Total Assets</t>
  </si>
  <si>
    <t>Sub-Total Shareholder Fund</t>
  </si>
  <si>
    <t>Sub-Total Non Current Liabilities</t>
  </si>
  <si>
    <t>Sub-Total  Current Liabilities</t>
  </si>
  <si>
    <t>Sub Total current asset</t>
  </si>
  <si>
    <t xml:space="preserve"> 31.03.13</t>
  </si>
  <si>
    <t>31.03.12</t>
  </si>
  <si>
    <t>31.03.11</t>
  </si>
  <si>
    <t xml:space="preserve"> 31.03.10</t>
  </si>
  <si>
    <t xml:space="preserve"> 31.03.09</t>
  </si>
  <si>
    <t>31.03.08</t>
  </si>
  <si>
    <t>31.03.07</t>
  </si>
  <si>
    <t xml:space="preserve"> 31.03.06</t>
  </si>
  <si>
    <t xml:space="preserve"> 31.03.05</t>
  </si>
  <si>
    <t xml:space="preserve"> 31.03.04</t>
  </si>
  <si>
    <t xml:space="preserve"> 31.03.03</t>
  </si>
  <si>
    <t xml:space="preserve"> 31.03.02</t>
  </si>
  <si>
    <t xml:space="preserve"> 31.03.01</t>
  </si>
  <si>
    <t xml:space="preserve"> 31.03.00</t>
  </si>
  <si>
    <t xml:space="preserve"> 31.03.99</t>
  </si>
  <si>
    <t>( c) Other Current Liabilities</t>
  </si>
  <si>
    <t>Investments</t>
  </si>
  <si>
    <t xml:space="preserve"> 31.03.98</t>
  </si>
  <si>
    <t xml:space="preserve"> 31.03.97</t>
  </si>
  <si>
    <t xml:space="preserve"> 31.03.96</t>
  </si>
  <si>
    <t xml:space="preserve"> 31.03.95</t>
  </si>
  <si>
    <t xml:space="preserve"> 31.03.94</t>
  </si>
  <si>
    <t>Gross Block</t>
  </si>
  <si>
    <t>Less:Depreciation</t>
  </si>
  <si>
    <t>(a)Paid Up Share Capital(Authorised Capital 1000 Lacs)</t>
  </si>
  <si>
    <t>(a)Cost of material consumed/Services Rendered</t>
  </si>
  <si>
    <t>(e)Other expenses(Administrative Expenses)</t>
  </si>
  <si>
    <t>Gross Sales</t>
  </si>
  <si>
    <t>Capital Employed</t>
  </si>
  <si>
    <t>Net Worth</t>
  </si>
  <si>
    <t>Current Ratio</t>
  </si>
  <si>
    <t>Gross Profit Percentage</t>
  </si>
  <si>
    <t>Tax on Dividend</t>
  </si>
  <si>
    <t xml:space="preserve">Dividend Distributed </t>
  </si>
  <si>
    <t>Percentage of Dividend Distributed</t>
  </si>
  <si>
    <t>Net Block(1)</t>
  </si>
  <si>
    <t>Capital Wip(2)</t>
  </si>
  <si>
    <t>(a) Fixed Assets(1+2)</t>
  </si>
  <si>
    <t>( c) Short /excess of earlier year(Refunds)</t>
  </si>
  <si>
    <t>Net Profit Pecentage After Tax</t>
  </si>
  <si>
    <t>Net Profit Pecentage Before Tax</t>
  </si>
  <si>
    <t>Quick Ratio</t>
  </si>
  <si>
    <t>Return on Equity</t>
  </si>
  <si>
    <t>Return On Assets</t>
  </si>
  <si>
    <t>Overhead As Percentage of Turnover</t>
  </si>
  <si>
    <t>Stock Turnover Ratio</t>
  </si>
  <si>
    <t>Creditor Days</t>
  </si>
  <si>
    <t>(f)Depreciation and amortisation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</si>
</sst>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3" borderId="1" xfId="0" applyFont="1" applyFill="1" applyBorder="1" applyAlignment="1">
      <alignment/>
    </xf>
    <xf numFmtId="165" fontId="0" fillId="0" borderId="1" xfId="15" applyNumberForma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165" fontId="2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2" fillId="0" borderId="0" xfId="15" applyNumberFormat="1" applyFont="1" applyAlignment="1">
      <alignment/>
    </xf>
    <xf numFmtId="0" fontId="0" fillId="0" borderId="3" xfId="0" applyBorder="1" applyAlignment="1">
      <alignment/>
    </xf>
    <xf numFmtId="165" fontId="2" fillId="0" borderId="3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2" fillId="0" borderId="3" xfId="15" applyNumberFormat="1" applyFont="1" applyBorder="1" applyAlignment="1">
      <alignment horizontal="center"/>
    </xf>
    <xf numFmtId="165" fontId="0" fillId="0" borderId="4" xfId="15" applyNumberFormat="1" applyBorder="1" applyAlignment="1">
      <alignment/>
    </xf>
    <xf numFmtId="165" fontId="2" fillId="0" borderId="1" xfId="15" applyNumberFormat="1" applyFon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" xfId="15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3" borderId="3" xfId="0" applyFont="1" applyFill="1" applyBorder="1" applyAlignment="1">
      <alignment/>
    </xf>
    <xf numFmtId="165" fontId="6" fillId="0" borderId="0" xfId="15" applyNumberFormat="1" applyFont="1" applyFill="1" applyAlignment="1">
      <alignment/>
    </xf>
    <xf numFmtId="43" fontId="6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5" fontId="2" fillId="0" borderId="3" xfId="15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3" xfId="15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2" fillId="0" borderId="5" xfId="15" applyNumberFormat="1" applyFont="1" applyBorder="1" applyAlignment="1">
      <alignment/>
    </xf>
    <xf numFmtId="0" fontId="0" fillId="0" borderId="5" xfId="0" applyBorder="1" applyAlignment="1">
      <alignment/>
    </xf>
    <xf numFmtId="165" fontId="6" fillId="0" borderId="5" xfId="15" applyNumberFormat="1" applyFont="1" applyFill="1" applyBorder="1" applyAlignment="1">
      <alignment/>
    </xf>
    <xf numFmtId="43" fontId="6" fillId="0" borderId="5" xfId="15" applyFont="1" applyFill="1" applyBorder="1" applyAlignment="1">
      <alignment/>
    </xf>
    <xf numFmtId="165" fontId="0" fillId="0" borderId="0" xfId="0" applyNumberFormat="1" applyAlignment="1">
      <alignment/>
    </xf>
    <xf numFmtId="43" fontId="6" fillId="0" borderId="0" xfId="15" applyFont="1" applyAlignment="1">
      <alignment/>
    </xf>
    <xf numFmtId="165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165" fontId="2" fillId="0" borderId="1" xfId="15" applyNumberFormat="1" applyFont="1" applyFill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6" xfId="15" applyNumberFormat="1" applyFont="1" applyBorder="1" applyAlignment="1">
      <alignment horizontal="center"/>
    </xf>
    <xf numFmtId="165" fontId="2" fillId="0" borderId="7" xfId="15" applyNumberFormat="1" applyFont="1" applyBorder="1" applyAlignment="1">
      <alignment horizontal="center"/>
    </xf>
    <xf numFmtId="165" fontId="2" fillId="0" borderId="6" xfId="15" applyNumberFormat="1" applyFont="1" applyFill="1" applyBorder="1" applyAlignment="1">
      <alignment horizontal="center"/>
    </xf>
    <xf numFmtId="165" fontId="2" fillId="0" borderId="8" xfId="15" applyNumberFormat="1" applyFont="1" applyBorder="1" applyAlignment="1">
      <alignment horizontal="center"/>
    </xf>
    <xf numFmtId="165" fontId="2" fillId="0" borderId="9" xfId="15" applyNumberFormat="1" applyFont="1" applyBorder="1" applyAlignment="1">
      <alignment horizontal="center"/>
    </xf>
    <xf numFmtId="165" fontId="2" fillId="0" borderId="8" xfId="15" applyNumberFormat="1" applyFont="1" applyFill="1" applyBorder="1" applyAlignment="1">
      <alignment horizontal="center"/>
    </xf>
    <xf numFmtId="165" fontId="2" fillId="0" borderId="3" xfId="15" applyNumberFormat="1" applyFont="1" applyFill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43" fontId="6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69"/>
  <sheetViews>
    <sheetView tabSelected="1" workbookViewId="0" topLeftCell="A1">
      <selection activeCell="C68" sqref="C68"/>
    </sheetView>
  </sheetViews>
  <sheetFormatPr defaultColWidth="9.140625" defaultRowHeight="12.75"/>
  <cols>
    <col min="2" max="2" width="48.57421875" style="0" bestFit="1" customWidth="1"/>
    <col min="3" max="3" width="11.421875" style="0" customWidth="1"/>
    <col min="4" max="5" width="8.7109375" style="0" bestFit="1" customWidth="1"/>
    <col min="6" max="7" width="8.28125" style="0" customWidth="1"/>
    <col min="8" max="8" width="9.00390625" style="0" customWidth="1"/>
    <col min="9" max="9" width="7.57421875" style="0" customWidth="1"/>
    <col min="10" max="10" width="8.28125" style="0" customWidth="1"/>
    <col min="11" max="11" width="8.140625" style="0" customWidth="1"/>
    <col min="12" max="13" width="8.28125" style="0" customWidth="1"/>
    <col min="14" max="14" width="8.421875" style="0" customWidth="1"/>
    <col min="15" max="16" width="8.28125" style="0" customWidth="1"/>
    <col min="17" max="17" width="8.00390625" style="0" customWidth="1"/>
    <col min="18" max="19" width="8.28125" style="0" customWidth="1"/>
    <col min="20" max="20" width="8.57421875" style="0" customWidth="1"/>
    <col min="21" max="21" width="8.421875" style="0" customWidth="1"/>
    <col min="22" max="22" width="8.28125" style="0" customWidth="1"/>
    <col min="23" max="24" width="8.421875" style="0" customWidth="1"/>
    <col min="25" max="26" width="8.28125" style="0" customWidth="1"/>
    <col min="27" max="27" width="8.421875" style="0" customWidth="1"/>
  </cols>
  <sheetData>
    <row r="2" spans="2:27" ht="18">
      <c r="B2" s="11" t="s">
        <v>0</v>
      </c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W2" s="38"/>
      <c r="X2" s="38"/>
      <c r="Y2" s="38"/>
      <c r="Z2" s="38"/>
      <c r="AA2" s="38"/>
    </row>
    <row r="3" spans="23:27" ht="12.75">
      <c r="W3" s="38"/>
      <c r="X3" s="38"/>
      <c r="Y3" s="38"/>
      <c r="Z3" s="38"/>
      <c r="AA3" s="38"/>
    </row>
    <row r="4" spans="3:27" ht="12.75">
      <c r="C4" s="6"/>
      <c r="D4" s="6"/>
      <c r="E4" s="6"/>
      <c r="F4" s="6"/>
      <c r="G4" s="6"/>
      <c r="H4" s="6"/>
      <c r="W4" s="38"/>
      <c r="X4" s="38"/>
      <c r="Y4" s="38"/>
      <c r="Z4" s="38"/>
      <c r="AA4" s="38"/>
    </row>
    <row r="5" spans="2:27" ht="12.75">
      <c r="B5" s="4" t="s">
        <v>1</v>
      </c>
      <c r="C5" s="7" t="s">
        <v>58</v>
      </c>
      <c r="D5" s="7" t="s">
        <v>59</v>
      </c>
      <c r="E5" s="7" t="s">
        <v>60</v>
      </c>
      <c r="F5" s="7" t="s">
        <v>61</v>
      </c>
      <c r="G5" s="7" t="s">
        <v>62</v>
      </c>
      <c r="H5" s="7" t="s">
        <v>63</v>
      </c>
      <c r="I5" s="7" t="s">
        <v>64</v>
      </c>
      <c r="J5" s="7" t="s">
        <v>65</v>
      </c>
      <c r="K5" s="7" t="s">
        <v>66</v>
      </c>
      <c r="L5" s="7" t="s">
        <v>67</v>
      </c>
      <c r="M5" s="7" t="s">
        <v>68</v>
      </c>
      <c r="N5" s="7" t="s">
        <v>69</v>
      </c>
      <c r="O5" s="7" t="s">
        <v>70</v>
      </c>
      <c r="P5" s="7" t="s">
        <v>71</v>
      </c>
      <c r="Q5" s="7" t="s">
        <v>72</v>
      </c>
      <c r="R5" s="7" t="s">
        <v>75</v>
      </c>
      <c r="S5" s="7" t="s">
        <v>76</v>
      </c>
      <c r="T5" s="7" t="s">
        <v>77</v>
      </c>
      <c r="U5" s="31" t="s">
        <v>78</v>
      </c>
      <c r="V5" s="7" t="s">
        <v>79</v>
      </c>
      <c r="W5" s="35"/>
      <c r="X5" s="35"/>
      <c r="Y5" s="35"/>
      <c r="Z5" s="35"/>
      <c r="AA5" s="35"/>
    </row>
    <row r="6" spans="2:27" ht="12.75">
      <c r="B6" s="4"/>
      <c r="C6" s="7"/>
      <c r="D6" s="7"/>
      <c r="E6" s="7"/>
      <c r="F6" s="7"/>
      <c r="G6" s="7"/>
      <c r="H6" s="3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1"/>
      <c r="V6" s="7"/>
      <c r="W6" s="35"/>
      <c r="X6" s="35"/>
      <c r="Y6" s="35"/>
      <c r="Z6" s="35"/>
      <c r="AA6" s="35"/>
    </row>
    <row r="7" spans="2:27" ht="12.75">
      <c r="B7" s="1" t="s">
        <v>85</v>
      </c>
      <c r="C7" s="29">
        <f>(C9/80)*100</f>
        <v>130040.00000000001</v>
      </c>
      <c r="D7" s="29">
        <f aca="true" t="shared" si="0" ref="D7:V7">(D9/80)*100</f>
        <v>116507.5</v>
      </c>
      <c r="E7" s="29">
        <f t="shared" si="0"/>
        <v>105725</v>
      </c>
      <c r="F7" s="29">
        <f t="shared" si="0"/>
        <v>92408.75</v>
      </c>
      <c r="G7" s="29">
        <f t="shared" si="0"/>
        <v>77430</v>
      </c>
      <c r="H7" s="29">
        <f t="shared" si="0"/>
        <v>70983.75</v>
      </c>
      <c r="I7" s="29">
        <f t="shared" si="0"/>
        <v>65800</v>
      </c>
      <c r="J7" s="29">
        <f t="shared" si="0"/>
        <v>63002.5</v>
      </c>
      <c r="K7" s="29">
        <f t="shared" si="0"/>
        <v>63970.00000000001</v>
      </c>
      <c r="L7" s="29">
        <f t="shared" si="0"/>
        <v>64017.49999999999</v>
      </c>
      <c r="M7" s="29">
        <f t="shared" si="0"/>
        <v>60266.25</v>
      </c>
      <c r="N7" s="29">
        <f t="shared" si="0"/>
        <v>48030</v>
      </c>
      <c r="O7" s="29">
        <f t="shared" si="0"/>
        <v>42682.5</v>
      </c>
      <c r="P7" s="29">
        <f t="shared" si="0"/>
        <v>42325</v>
      </c>
      <c r="Q7" s="29">
        <f t="shared" si="0"/>
        <v>42223.75</v>
      </c>
      <c r="R7" s="29">
        <f t="shared" si="0"/>
        <v>42658.75</v>
      </c>
      <c r="S7" s="29">
        <f t="shared" si="0"/>
        <v>35303.75</v>
      </c>
      <c r="T7" s="29">
        <f t="shared" si="0"/>
        <v>24977.5</v>
      </c>
      <c r="U7" s="29">
        <f t="shared" si="0"/>
        <v>22683.75</v>
      </c>
      <c r="V7" s="29">
        <f t="shared" si="0"/>
        <v>22548.75</v>
      </c>
      <c r="W7" s="38"/>
      <c r="X7" s="38"/>
      <c r="Y7" s="38"/>
      <c r="Z7" s="38"/>
      <c r="AA7" s="38"/>
    </row>
    <row r="8" spans="1:27" ht="12.75">
      <c r="A8">
        <v>1</v>
      </c>
      <c r="B8" s="2" t="s">
        <v>2</v>
      </c>
      <c r="C8" s="5"/>
      <c r="D8" s="5"/>
      <c r="E8" s="5"/>
      <c r="F8" s="5"/>
      <c r="G8" s="5"/>
      <c r="H8" s="1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9"/>
      <c r="V8" s="5"/>
      <c r="W8" s="38"/>
      <c r="X8" s="38"/>
      <c r="Y8" s="38"/>
      <c r="Z8" s="38"/>
      <c r="AA8" s="38"/>
    </row>
    <row r="9" spans="1:27" ht="12.75">
      <c r="A9" s="1"/>
      <c r="B9" s="3" t="s">
        <v>3</v>
      </c>
      <c r="C9" s="9">
        <v>104032</v>
      </c>
      <c r="D9" s="12">
        <v>93206</v>
      </c>
      <c r="E9" s="12">
        <v>84580</v>
      </c>
      <c r="F9" s="12">
        <v>73927</v>
      </c>
      <c r="G9" s="12">
        <v>61944</v>
      </c>
      <c r="H9" s="20">
        <v>56787</v>
      </c>
      <c r="I9" s="24">
        <v>52640</v>
      </c>
      <c r="J9" s="24">
        <v>50402</v>
      </c>
      <c r="K9" s="24">
        <v>51176</v>
      </c>
      <c r="L9" s="24">
        <v>51214</v>
      </c>
      <c r="M9" s="24">
        <v>48213</v>
      </c>
      <c r="N9" s="24">
        <v>38424</v>
      </c>
      <c r="O9" s="24">
        <v>34146</v>
      </c>
      <c r="P9" s="24">
        <v>33860</v>
      </c>
      <c r="Q9" s="24">
        <v>33779</v>
      </c>
      <c r="R9" s="24">
        <v>34127</v>
      </c>
      <c r="S9" s="24">
        <v>28243</v>
      </c>
      <c r="T9" s="24">
        <v>19982</v>
      </c>
      <c r="U9" s="36">
        <v>18147</v>
      </c>
      <c r="V9" s="24">
        <v>18039</v>
      </c>
      <c r="W9" s="38"/>
      <c r="X9" s="38"/>
      <c r="Y9" s="38"/>
      <c r="Z9" s="38"/>
      <c r="AA9" s="38"/>
    </row>
    <row r="10" spans="1:27" ht="12.75">
      <c r="A10" s="1"/>
      <c r="B10" s="1"/>
      <c r="C10" s="8"/>
      <c r="D10" s="13"/>
      <c r="E10" s="13"/>
      <c r="F10" s="13"/>
      <c r="G10" s="13"/>
      <c r="H10" s="17"/>
      <c r="I10" s="13"/>
      <c r="J10" s="13"/>
      <c r="K10" s="13"/>
      <c r="L10" s="13"/>
      <c r="M10" s="13"/>
      <c r="N10" s="13"/>
      <c r="O10" s="13"/>
      <c r="P10" s="13"/>
      <c r="Q10" s="13"/>
      <c r="R10" s="5"/>
      <c r="S10" s="5"/>
      <c r="T10" s="5"/>
      <c r="U10" s="19"/>
      <c r="V10" s="5"/>
      <c r="W10" s="38"/>
      <c r="X10" s="38"/>
      <c r="Y10" s="38"/>
      <c r="Z10" s="38"/>
      <c r="AA10" s="38"/>
    </row>
    <row r="11" spans="1:27" ht="12.75">
      <c r="A11" s="1">
        <v>2</v>
      </c>
      <c r="B11" s="2" t="s">
        <v>4</v>
      </c>
      <c r="C11" s="8"/>
      <c r="D11" s="13"/>
      <c r="E11" s="13"/>
      <c r="F11" s="13"/>
      <c r="G11" s="13"/>
      <c r="H11" s="17"/>
      <c r="I11" s="13"/>
      <c r="J11" s="13"/>
      <c r="K11" s="13"/>
      <c r="L11" s="13"/>
      <c r="M11" s="13"/>
      <c r="N11" s="13"/>
      <c r="O11" s="13"/>
      <c r="P11" s="13"/>
      <c r="Q11" s="13"/>
      <c r="R11" s="5"/>
      <c r="S11" s="5"/>
      <c r="T11" s="5"/>
      <c r="U11" s="19"/>
      <c r="V11" s="5"/>
      <c r="W11" s="38"/>
      <c r="X11" s="38"/>
      <c r="Y11" s="38"/>
      <c r="Z11" s="38"/>
      <c r="AA11" s="38"/>
    </row>
    <row r="12" spans="1:27" ht="12.75">
      <c r="A12" s="1"/>
      <c r="B12" s="4" t="s">
        <v>83</v>
      </c>
      <c r="C12" s="8">
        <v>1664</v>
      </c>
      <c r="D12" s="13">
        <v>648</v>
      </c>
      <c r="E12" s="13">
        <v>464</v>
      </c>
      <c r="F12" s="15">
        <v>1025</v>
      </c>
      <c r="G12" s="13">
        <v>373</v>
      </c>
      <c r="H12" s="21">
        <v>290</v>
      </c>
      <c r="I12" s="25">
        <f>262+1871</f>
        <v>2133</v>
      </c>
      <c r="J12" s="25">
        <f>253+1831</f>
        <v>2084</v>
      </c>
      <c r="K12" s="25">
        <f>232+2086</f>
        <v>2318</v>
      </c>
      <c r="L12" s="13">
        <f>192+2662</f>
        <v>2854</v>
      </c>
      <c r="M12" s="13">
        <f>157+2514</f>
        <v>2671</v>
      </c>
      <c r="N12" s="13">
        <f>94+2142</f>
        <v>2236</v>
      </c>
      <c r="O12" s="13">
        <f>112+1749</f>
        <v>1861</v>
      </c>
      <c r="P12" s="13">
        <f>138+1676</f>
        <v>1814</v>
      </c>
      <c r="Q12" s="13">
        <f>135</f>
        <v>135</v>
      </c>
      <c r="R12" s="5">
        <f>109+1722</f>
        <v>1831</v>
      </c>
      <c r="S12" s="5">
        <f>115+1370</f>
        <v>1485</v>
      </c>
      <c r="T12" s="5">
        <f>149+829</f>
        <v>978</v>
      </c>
      <c r="U12" s="19">
        <f>139</f>
        <v>139</v>
      </c>
      <c r="V12" s="5">
        <f>134+1348</f>
        <v>1482</v>
      </c>
      <c r="W12" s="38"/>
      <c r="X12" s="38"/>
      <c r="Y12" s="38"/>
      <c r="Z12" s="38"/>
      <c r="AA12" s="38"/>
    </row>
    <row r="13" spans="1:27" ht="12.75">
      <c r="A13" s="1"/>
      <c r="B13" s="4" t="s">
        <v>9</v>
      </c>
      <c r="C13" s="8">
        <v>97011</v>
      </c>
      <c r="D13" s="13">
        <v>88081</v>
      </c>
      <c r="E13" s="13">
        <v>79940</v>
      </c>
      <c r="F13" s="15">
        <v>69849</v>
      </c>
      <c r="G13" s="13">
        <v>58912</v>
      </c>
      <c r="H13" s="21">
        <v>53973</v>
      </c>
      <c r="I13" s="25">
        <v>48299</v>
      </c>
      <c r="J13" s="25">
        <v>46282</v>
      </c>
      <c r="K13" s="25">
        <v>46575</v>
      </c>
      <c r="L13" s="25">
        <v>46519</v>
      </c>
      <c r="M13" s="25">
        <v>43905</v>
      </c>
      <c r="N13" s="25">
        <v>34957</v>
      </c>
      <c r="O13" s="25">
        <v>31173</v>
      </c>
      <c r="P13" s="25">
        <v>30948</v>
      </c>
      <c r="Q13" s="25">
        <v>30620</v>
      </c>
      <c r="R13" s="26">
        <v>31120</v>
      </c>
      <c r="S13" s="26">
        <v>25701</v>
      </c>
      <c r="T13" s="26">
        <v>18112</v>
      </c>
      <c r="U13" s="37">
        <v>17228</v>
      </c>
      <c r="V13" s="26">
        <v>15899</v>
      </c>
      <c r="W13" s="38"/>
      <c r="X13" s="38"/>
      <c r="Y13" s="38"/>
      <c r="Z13" s="38"/>
      <c r="AA13" s="38"/>
    </row>
    <row r="14" spans="1:27" ht="12.75">
      <c r="A14" s="1"/>
      <c r="B14" s="4" t="s">
        <v>10</v>
      </c>
      <c r="C14" s="8">
        <v>-1091</v>
      </c>
      <c r="D14" s="13">
        <v>-1118</v>
      </c>
      <c r="E14" s="13">
        <v>18</v>
      </c>
      <c r="F14" s="15">
        <v>-274</v>
      </c>
      <c r="G14" s="13">
        <v>29</v>
      </c>
      <c r="H14" s="21">
        <v>-20</v>
      </c>
      <c r="I14" s="25">
        <v>-255</v>
      </c>
      <c r="J14" s="27">
        <v>-343</v>
      </c>
      <c r="K14" s="13">
        <f>1614-1290</f>
        <v>324</v>
      </c>
      <c r="L14" s="13">
        <f>1464-1614</f>
        <v>-150</v>
      </c>
      <c r="M14" s="13">
        <f>1219-1464</f>
        <v>-245</v>
      </c>
      <c r="N14" s="13">
        <f>962-1219</f>
        <v>-257</v>
      </c>
      <c r="O14" s="13">
        <f>735-962</f>
        <v>-227</v>
      </c>
      <c r="P14" s="13">
        <f>486-735</f>
        <v>-249</v>
      </c>
      <c r="Q14" s="13">
        <f>534-486</f>
        <v>48</v>
      </c>
      <c r="R14" s="13">
        <f>446-534</f>
        <v>-88</v>
      </c>
      <c r="S14" s="13">
        <f>364-446</f>
        <v>-82</v>
      </c>
      <c r="T14" s="13">
        <f>433-364</f>
        <v>69</v>
      </c>
      <c r="U14" s="17">
        <f>457-433</f>
        <v>24</v>
      </c>
      <c r="V14" s="13">
        <f>455-457</f>
        <v>-2</v>
      </c>
      <c r="W14" s="38"/>
      <c r="X14" s="38"/>
      <c r="Y14" s="38"/>
      <c r="Z14" s="38"/>
      <c r="AA14" s="38"/>
    </row>
    <row r="15" spans="1:28" ht="12.75">
      <c r="A15" s="1"/>
      <c r="B15" s="4" t="s">
        <v>11</v>
      </c>
      <c r="C15" s="8">
        <v>5608</v>
      </c>
      <c r="D15" s="13">
        <v>4622</v>
      </c>
      <c r="E15" s="13">
        <v>4066</v>
      </c>
      <c r="F15" s="15">
        <v>3526</v>
      </c>
      <c r="G15" s="13">
        <v>4294</v>
      </c>
      <c r="H15" s="17">
        <v>3024</v>
      </c>
      <c r="I15" s="25">
        <v>1965</v>
      </c>
      <c r="J15" s="26">
        <v>1901</v>
      </c>
      <c r="K15" s="26">
        <v>1739</v>
      </c>
      <c r="L15" s="26">
        <v>1453</v>
      </c>
      <c r="M15" s="26">
        <v>1359</v>
      </c>
      <c r="N15" s="26">
        <v>1459</v>
      </c>
      <c r="O15" s="26">
        <v>1247</v>
      </c>
      <c r="P15" s="26">
        <v>1225</v>
      </c>
      <c r="Q15" s="26">
        <v>1145</v>
      </c>
      <c r="R15" s="26">
        <v>905</v>
      </c>
      <c r="S15" s="26">
        <v>752</v>
      </c>
      <c r="T15" s="26">
        <v>521</v>
      </c>
      <c r="U15" s="37">
        <v>424</v>
      </c>
      <c r="V15" s="26">
        <v>370</v>
      </c>
      <c r="W15" s="38"/>
      <c r="X15" s="38"/>
      <c r="Y15" s="38"/>
      <c r="Z15" s="38"/>
      <c r="AA15" s="38"/>
      <c r="AB15" s="42"/>
    </row>
    <row r="16" spans="1:28" ht="12.75">
      <c r="A16" s="1"/>
      <c r="B16" s="4" t="s">
        <v>84</v>
      </c>
      <c r="C16" s="8">
        <v>3127</v>
      </c>
      <c r="D16" s="13">
        <v>2526</v>
      </c>
      <c r="E16" s="13">
        <v>2117</v>
      </c>
      <c r="F16" s="15">
        <v>1744</v>
      </c>
      <c r="G16" s="13">
        <v>1420</v>
      </c>
      <c r="H16" s="17">
        <v>1460</v>
      </c>
      <c r="I16" s="25">
        <v>1406</v>
      </c>
      <c r="J16" s="26">
        <v>1258</v>
      </c>
      <c r="K16" s="26">
        <v>1127</v>
      </c>
      <c r="L16" s="26">
        <v>1115</v>
      </c>
      <c r="M16" s="26">
        <v>810</v>
      </c>
      <c r="N16" s="26">
        <v>672</v>
      </c>
      <c r="O16" s="26">
        <v>684</v>
      </c>
      <c r="P16" s="26">
        <v>590</v>
      </c>
      <c r="Q16" s="26">
        <v>542</v>
      </c>
      <c r="R16" s="26">
        <v>555</v>
      </c>
      <c r="S16" s="26">
        <v>447</v>
      </c>
      <c r="T16" s="26">
        <v>383</v>
      </c>
      <c r="U16" s="37">
        <v>291</v>
      </c>
      <c r="V16" s="26">
        <v>222</v>
      </c>
      <c r="W16" s="38"/>
      <c r="X16" s="38"/>
      <c r="Y16" s="38"/>
      <c r="Z16" s="38"/>
      <c r="AA16" s="38"/>
      <c r="AB16" s="42"/>
    </row>
    <row r="17" spans="1:28" ht="12.75">
      <c r="A17" s="1"/>
      <c r="B17" s="4" t="s">
        <v>105</v>
      </c>
      <c r="C17" s="8">
        <v>164</v>
      </c>
      <c r="D17" s="13">
        <v>152</v>
      </c>
      <c r="E17" s="13">
        <v>158</v>
      </c>
      <c r="F17" s="13">
        <v>150</v>
      </c>
      <c r="G17" s="13">
        <v>173</v>
      </c>
      <c r="H17" s="17">
        <v>103</v>
      </c>
      <c r="I17" s="25">
        <f>122</f>
        <v>122</v>
      </c>
      <c r="J17" s="13">
        <f>103</f>
        <v>103</v>
      </c>
      <c r="K17" s="13">
        <f>88+2</f>
        <v>90</v>
      </c>
      <c r="L17" s="13">
        <f>80+10</f>
        <v>90</v>
      </c>
      <c r="M17" s="26">
        <v>122</v>
      </c>
      <c r="N17" s="13">
        <v>76</v>
      </c>
      <c r="O17" s="13">
        <v>68</v>
      </c>
      <c r="P17" s="13">
        <v>66</v>
      </c>
      <c r="Q17" s="13">
        <v>59</v>
      </c>
      <c r="R17" s="28">
        <v>53</v>
      </c>
      <c r="S17" s="28">
        <v>62</v>
      </c>
      <c r="T17" s="28">
        <v>45</v>
      </c>
      <c r="U17" s="39">
        <v>37</v>
      </c>
      <c r="V17" s="28">
        <v>23</v>
      </c>
      <c r="W17" s="42"/>
      <c r="X17" s="42"/>
      <c r="Y17" s="42"/>
      <c r="Z17" s="42"/>
      <c r="AA17" s="42"/>
      <c r="AB17" s="42"/>
    </row>
    <row r="18" spans="1:28" ht="12.75">
      <c r="A18" s="1"/>
      <c r="B18" s="4" t="s">
        <v>5</v>
      </c>
      <c r="C18" s="9">
        <f>SUM(C12:C17)</f>
        <v>106483</v>
      </c>
      <c r="D18" s="9">
        <f>SUM(D12:D17)</f>
        <v>94911</v>
      </c>
      <c r="E18" s="9">
        <f>SUM(E12:E17)</f>
        <v>86763</v>
      </c>
      <c r="F18" s="9">
        <f>SUM(F12:F17)</f>
        <v>76020</v>
      </c>
      <c r="G18" s="9">
        <f>SUM(G12:G17)</f>
        <v>65201</v>
      </c>
      <c r="H18" s="22">
        <f>SUM(H12:H17)</f>
        <v>58830</v>
      </c>
      <c r="I18" s="9">
        <f>SUM(I12:I17)</f>
        <v>53670</v>
      </c>
      <c r="J18" s="9">
        <f>SUM(J12:J17)</f>
        <v>51285</v>
      </c>
      <c r="K18" s="9">
        <f>SUM(K12:K17)</f>
        <v>52173</v>
      </c>
      <c r="L18" s="9">
        <f>SUM(L12:L17)</f>
        <v>51881</v>
      </c>
      <c r="M18" s="9">
        <f>SUM(M12:M17)</f>
        <v>48622</v>
      </c>
      <c r="N18" s="9">
        <f>SUM(N12:N17)</f>
        <v>39143</v>
      </c>
      <c r="O18" s="9">
        <f>SUM(O12:O17)</f>
        <v>34806</v>
      </c>
      <c r="P18" s="9">
        <f>SUM(P12:P17)</f>
        <v>34394</v>
      </c>
      <c r="Q18" s="9">
        <f>SUM(Q12:Q17)</f>
        <v>32549</v>
      </c>
      <c r="R18" s="9">
        <f>SUM(R12:R17)</f>
        <v>34376</v>
      </c>
      <c r="S18" s="9">
        <f>SUM(S12:S17)</f>
        <v>28365</v>
      </c>
      <c r="T18" s="9">
        <f>SUM(T12:T17)</f>
        <v>20108</v>
      </c>
      <c r="U18" s="22">
        <f>SUM(U12:U17)</f>
        <v>18143</v>
      </c>
      <c r="V18" s="9">
        <f>SUM(V12:V17)</f>
        <v>17994</v>
      </c>
      <c r="W18" s="43"/>
      <c r="X18" s="43"/>
      <c r="Y18" s="43"/>
      <c r="Z18" s="43"/>
      <c r="AA18" s="43"/>
      <c r="AB18" s="42"/>
    </row>
    <row r="19" spans="1:28" ht="12.75">
      <c r="A19" s="1"/>
      <c r="C19" s="8"/>
      <c r="D19" s="13"/>
      <c r="E19" s="13"/>
      <c r="F19" s="13"/>
      <c r="G19" s="13"/>
      <c r="H19" s="23"/>
      <c r="I19" s="13"/>
      <c r="J19" s="13"/>
      <c r="K19" s="13"/>
      <c r="L19" s="13"/>
      <c r="M19" s="13"/>
      <c r="N19" s="13"/>
      <c r="O19" s="13"/>
      <c r="P19" s="13"/>
      <c r="Q19" s="13"/>
      <c r="R19" s="5"/>
      <c r="S19" s="5"/>
      <c r="T19" s="5"/>
      <c r="U19" s="19"/>
      <c r="V19" s="5"/>
      <c r="W19" s="42"/>
      <c r="X19" s="42"/>
      <c r="Y19" s="42"/>
      <c r="Z19" s="42"/>
      <c r="AA19" s="42"/>
      <c r="AB19" s="42"/>
    </row>
    <row r="20" spans="1:28" ht="12.75">
      <c r="A20" s="1">
        <v>3</v>
      </c>
      <c r="B20" s="2" t="s">
        <v>12</v>
      </c>
      <c r="C20" s="59">
        <f>C9-C18</f>
        <v>-2451</v>
      </c>
      <c r="D20" s="59">
        <f>D9-D18</f>
        <v>-1705</v>
      </c>
      <c r="E20" s="59">
        <f>E9-E18</f>
        <v>-2183</v>
      </c>
      <c r="F20" s="59">
        <f>F9-F18</f>
        <v>-2093</v>
      </c>
      <c r="G20" s="59">
        <f>G9-G18</f>
        <v>-3257</v>
      </c>
      <c r="H20" s="62">
        <f>H9-H18</f>
        <v>-2043</v>
      </c>
      <c r="I20" s="55">
        <f>I9-I18</f>
        <v>-1030</v>
      </c>
      <c r="J20" s="55">
        <f>J9-J18</f>
        <v>-883</v>
      </c>
      <c r="K20" s="55">
        <f>K9-K18</f>
        <v>-997</v>
      </c>
      <c r="L20" s="55">
        <f>L9-L18</f>
        <v>-667</v>
      </c>
      <c r="M20" s="55">
        <f>M9-M18</f>
        <v>-409</v>
      </c>
      <c r="N20" s="55">
        <f>N9-N18</f>
        <v>-719</v>
      </c>
      <c r="O20" s="55">
        <f>O9-O18</f>
        <v>-660</v>
      </c>
      <c r="P20" s="55">
        <f>P9-P18</f>
        <v>-534</v>
      </c>
      <c r="Q20" s="55">
        <f>Q9-Q18</f>
        <v>1230</v>
      </c>
      <c r="R20" s="55">
        <f>R9-R18</f>
        <v>-249</v>
      </c>
      <c r="S20" s="55">
        <f>S9-S18</f>
        <v>-122</v>
      </c>
      <c r="T20" s="55">
        <f>T9-T18</f>
        <v>-126</v>
      </c>
      <c r="U20" s="63">
        <f>U9-U18</f>
        <v>4</v>
      </c>
      <c r="V20" s="55">
        <f>V9-V18</f>
        <v>45</v>
      </c>
      <c r="W20" s="42"/>
      <c r="X20" s="42"/>
      <c r="Y20" s="42"/>
      <c r="Z20" s="42"/>
      <c r="AA20" s="42"/>
      <c r="AB20" s="42"/>
    </row>
    <row r="21" spans="1:28" ht="12.75">
      <c r="A21" s="1"/>
      <c r="B21" s="2" t="s">
        <v>16</v>
      </c>
      <c r="C21" s="58"/>
      <c r="D21" s="58"/>
      <c r="E21" s="58"/>
      <c r="F21" s="58"/>
      <c r="G21" s="58"/>
      <c r="H21" s="61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64"/>
      <c r="V21" s="56"/>
      <c r="W21" s="42"/>
      <c r="X21" s="42"/>
      <c r="Y21" s="42"/>
      <c r="Z21" s="42"/>
      <c r="AA21" s="42"/>
      <c r="AB21" s="42"/>
    </row>
    <row r="22" spans="1:28" ht="12.75">
      <c r="A22" s="1"/>
      <c r="C22" s="8"/>
      <c r="D22" s="13"/>
      <c r="E22" s="17"/>
      <c r="F22" s="13"/>
      <c r="G22" s="16"/>
      <c r="H22" s="17"/>
      <c r="I22" s="13"/>
      <c r="J22" s="13"/>
      <c r="K22" s="13"/>
      <c r="L22" s="13"/>
      <c r="M22" s="13"/>
      <c r="N22" s="13"/>
      <c r="O22" s="13"/>
      <c r="P22" s="13"/>
      <c r="Q22" s="13"/>
      <c r="R22" s="5"/>
      <c r="S22" s="5"/>
      <c r="T22" s="5"/>
      <c r="U22" s="19"/>
      <c r="V22" s="5"/>
      <c r="W22" s="42"/>
      <c r="X22" s="42"/>
      <c r="Y22" s="42"/>
      <c r="Z22" s="42"/>
      <c r="AA22" s="42"/>
      <c r="AB22" s="42"/>
    </row>
    <row r="23" spans="1:28" ht="12.75">
      <c r="A23" s="1">
        <v>4</v>
      </c>
      <c r="B23" s="2" t="s">
        <v>13</v>
      </c>
      <c r="C23" s="8"/>
      <c r="D23" s="13"/>
      <c r="E23" s="13"/>
      <c r="F23" s="13"/>
      <c r="G23" s="13"/>
      <c r="H23" s="17"/>
      <c r="I23" s="13"/>
      <c r="J23" s="13"/>
      <c r="K23" s="13"/>
      <c r="L23" s="13"/>
      <c r="M23" s="13"/>
      <c r="N23" s="13"/>
      <c r="O23" s="13"/>
      <c r="P23" s="13"/>
      <c r="Q23" s="13"/>
      <c r="R23" s="5"/>
      <c r="S23" s="5"/>
      <c r="T23" s="5"/>
      <c r="U23" s="19"/>
      <c r="V23" s="5"/>
      <c r="W23" s="42"/>
      <c r="X23" s="42"/>
      <c r="Y23" s="42"/>
      <c r="Z23" s="42"/>
      <c r="AA23" s="42"/>
      <c r="AB23" s="42"/>
    </row>
    <row r="24" spans="1:28" ht="12.75">
      <c r="A24" s="1"/>
      <c r="B24" s="4" t="s">
        <v>6</v>
      </c>
      <c r="C24" s="8">
        <v>5097</v>
      </c>
      <c r="D24" s="13">
        <v>3289</v>
      </c>
      <c r="E24" s="13">
        <v>2202</v>
      </c>
      <c r="F24" s="13">
        <v>1813</v>
      </c>
      <c r="G24" s="13">
        <v>2468</v>
      </c>
      <c r="H24" s="17">
        <v>2337</v>
      </c>
      <c r="I24" s="25">
        <v>937</v>
      </c>
      <c r="J24" s="13">
        <f>274+16+35</f>
        <v>325</v>
      </c>
      <c r="K24" s="13">
        <f>276+17+9</f>
        <v>302</v>
      </c>
      <c r="L24" s="13">
        <f>361+18+8</f>
        <v>387</v>
      </c>
      <c r="M24" s="13">
        <f>407+14+76</f>
        <v>497</v>
      </c>
      <c r="N24" s="13">
        <f>383+193</f>
        <v>576</v>
      </c>
      <c r="O24" s="13">
        <f>395+47</f>
        <v>442</v>
      </c>
      <c r="P24" s="13">
        <f>615+50</f>
        <v>665</v>
      </c>
      <c r="Q24" s="13">
        <f>475+123</f>
        <v>598</v>
      </c>
      <c r="R24" s="5">
        <f>391+126</f>
        <v>517</v>
      </c>
      <c r="S24" s="5">
        <f>306+193</f>
        <v>499</v>
      </c>
      <c r="T24" s="5">
        <f>276+193</f>
        <v>469</v>
      </c>
      <c r="U24" s="19">
        <f>228+193</f>
        <v>421</v>
      </c>
      <c r="V24" s="5">
        <f>197+193</f>
        <v>390</v>
      </c>
      <c r="W24" s="42"/>
      <c r="X24" s="42"/>
      <c r="Y24" s="42"/>
      <c r="Z24" s="42"/>
      <c r="AA24" s="42"/>
      <c r="AB24" s="42"/>
    </row>
    <row r="25" spans="1:28" ht="12.75">
      <c r="A25" s="1"/>
      <c r="B25" s="4" t="s">
        <v>7</v>
      </c>
      <c r="C25" s="8">
        <v>723</v>
      </c>
      <c r="D25" s="13">
        <v>502</v>
      </c>
      <c r="E25" s="13">
        <v>1611</v>
      </c>
      <c r="F25" s="13">
        <v>1225</v>
      </c>
      <c r="G25" s="13">
        <v>1090</v>
      </c>
      <c r="H25" s="17">
        <v>1006</v>
      </c>
      <c r="I25" s="25">
        <v>946</v>
      </c>
      <c r="J25" s="13">
        <f>1129-325</f>
        <v>804</v>
      </c>
      <c r="K25" s="13">
        <f>1260-302</f>
        <v>958</v>
      </c>
      <c r="L25" s="13">
        <f>1078-L24+28</f>
        <v>719</v>
      </c>
      <c r="M25" s="13">
        <f>1046-M24</f>
        <v>549</v>
      </c>
      <c r="N25" s="13">
        <f>1263-N24</f>
        <v>687</v>
      </c>
      <c r="O25" s="13">
        <f>830-O24</f>
        <v>388</v>
      </c>
      <c r="P25" s="13">
        <f>1036-P24</f>
        <v>371</v>
      </c>
      <c r="Q25" s="13">
        <f>990-Q24</f>
        <v>392</v>
      </c>
      <c r="R25" s="5">
        <f>797-R24</f>
        <v>280</v>
      </c>
      <c r="S25" s="5">
        <f>690-S24</f>
        <v>191</v>
      </c>
      <c r="T25" s="5">
        <f>653-T24</f>
        <v>184</v>
      </c>
      <c r="U25" s="19">
        <f>566-U24</f>
        <v>145</v>
      </c>
      <c r="V25" s="5">
        <f>491-V24</f>
        <v>101</v>
      </c>
      <c r="W25" s="42"/>
      <c r="X25" s="42"/>
      <c r="Y25" s="42"/>
      <c r="Z25" s="42"/>
      <c r="AA25" s="42"/>
      <c r="AB25" s="42"/>
    </row>
    <row r="26" spans="1:28" ht="12.75">
      <c r="A26" s="1"/>
      <c r="B26" s="4" t="s">
        <v>8</v>
      </c>
      <c r="C26" s="9">
        <f aca="true" t="shared" si="1" ref="C26:J26">SUM(C24:C25)</f>
        <v>5820</v>
      </c>
      <c r="D26" s="9">
        <f t="shared" si="1"/>
        <v>3791</v>
      </c>
      <c r="E26" s="9">
        <f t="shared" si="1"/>
        <v>3813</v>
      </c>
      <c r="F26" s="9">
        <f t="shared" si="1"/>
        <v>3038</v>
      </c>
      <c r="G26" s="9">
        <f t="shared" si="1"/>
        <v>3558</v>
      </c>
      <c r="H26" s="22">
        <f t="shared" si="1"/>
        <v>3343</v>
      </c>
      <c r="I26" s="9">
        <f t="shared" si="1"/>
        <v>1883</v>
      </c>
      <c r="J26" s="9">
        <f t="shared" si="1"/>
        <v>1129</v>
      </c>
      <c r="K26" s="9">
        <f aca="true" t="shared" si="2" ref="K26:Q26">SUM(K24:K25)</f>
        <v>1260</v>
      </c>
      <c r="L26" s="9">
        <f t="shared" si="2"/>
        <v>1106</v>
      </c>
      <c r="M26" s="9">
        <f t="shared" si="2"/>
        <v>1046</v>
      </c>
      <c r="N26" s="9">
        <f t="shared" si="2"/>
        <v>1263</v>
      </c>
      <c r="O26" s="9">
        <f t="shared" si="2"/>
        <v>830</v>
      </c>
      <c r="P26" s="9">
        <f t="shared" si="2"/>
        <v>1036</v>
      </c>
      <c r="Q26" s="9">
        <f t="shared" si="2"/>
        <v>990</v>
      </c>
      <c r="R26" s="9">
        <f>SUM(R24:R25)</f>
        <v>797</v>
      </c>
      <c r="S26" s="9">
        <f>SUM(S24:S25)</f>
        <v>690</v>
      </c>
      <c r="T26" s="9">
        <f>SUM(T24:T25)</f>
        <v>653</v>
      </c>
      <c r="U26" s="22">
        <f>SUM(U24:U25)</f>
        <v>566</v>
      </c>
      <c r="V26" s="9">
        <f>SUM(V24:V25)</f>
        <v>491</v>
      </c>
      <c r="W26" s="43"/>
      <c r="X26" s="43"/>
      <c r="Y26" s="43"/>
      <c r="Z26" s="43"/>
      <c r="AA26" s="43"/>
      <c r="AB26" s="42"/>
    </row>
    <row r="27" spans="1:28" ht="12.75">
      <c r="A27" s="1"/>
      <c r="C27" s="8"/>
      <c r="D27" s="13"/>
      <c r="E27" s="13"/>
      <c r="F27" s="13"/>
      <c r="G27" s="13"/>
      <c r="H27" s="17"/>
      <c r="I27" s="13"/>
      <c r="J27" s="13"/>
      <c r="K27" s="13"/>
      <c r="L27" s="13"/>
      <c r="M27" s="13"/>
      <c r="N27" s="13"/>
      <c r="O27" s="13"/>
      <c r="P27" s="13"/>
      <c r="Q27" s="13"/>
      <c r="R27" s="5"/>
      <c r="S27" s="5"/>
      <c r="T27" s="5"/>
      <c r="U27" s="19"/>
      <c r="V27" s="5"/>
      <c r="W27" s="42"/>
      <c r="X27" s="42"/>
      <c r="Y27" s="42"/>
      <c r="Z27" s="42"/>
      <c r="AA27" s="42"/>
      <c r="AB27" s="42"/>
    </row>
    <row r="28" spans="1:28" ht="12.75">
      <c r="A28" s="1"/>
      <c r="C28" s="8"/>
      <c r="D28" s="13"/>
      <c r="E28" s="13"/>
      <c r="F28" s="13"/>
      <c r="G28" s="13"/>
      <c r="H28" s="17"/>
      <c r="I28" s="13"/>
      <c r="J28" s="13"/>
      <c r="K28" s="13"/>
      <c r="L28" s="13"/>
      <c r="M28" s="13"/>
      <c r="N28" s="13"/>
      <c r="O28" s="13"/>
      <c r="P28" s="13"/>
      <c r="Q28" s="13"/>
      <c r="R28" s="5"/>
      <c r="S28" s="5"/>
      <c r="T28" s="5"/>
      <c r="U28" s="19"/>
      <c r="V28" s="5"/>
      <c r="W28" s="42"/>
      <c r="X28" s="42"/>
      <c r="Y28" s="42"/>
      <c r="Z28" s="42"/>
      <c r="AA28" s="42"/>
      <c r="AB28" s="42"/>
    </row>
    <row r="29" spans="1:28" ht="12.75">
      <c r="A29" s="1">
        <v>5</v>
      </c>
      <c r="B29" s="2" t="s">
        <v>14</v>
      </c>
      <c r="C29" s="57">
        <f aca="true" t="shared" si="3" ref="C29:H29">C20+C26</f>
        <v>3369</v>
      </c>
      <c r="D29" s="60">
        <f t="shared" si="3"/>
        <v>2086</v>
      </c>
      <c r="E29" s="60">
        <f t="shared" si="3"/>
        <v>1630</v>
      </c>
      <c r="F29" s="60">
        <f t="shared" si="3"/>
        <v>945</v>
      </c>
      <c r="G29" s="60">
        <f t="shared" si="3"/>
        <v>301</v>
      </c>
      <c r="H29" s="60">
        <f t="shared" si="3"/>
        <v>1300</v>
      </c>
      <c r="I29" s="56">
        <f aca="true" t="shared" si="4" ref="I29:Q29">I20+I26</f>
        <v>853</v>
      </c>
      <c r="J29" s="56">
        <f t="shared" si="4"/>
        <v>246</v>
      </c>
      <c r="K29" s="56">
        <f t="shared" si="4"/>
        <v>263</v>
      </c>
      <c r="L29" s="56">
        <f t="shared" si="4"/>
        <v>439</v>
      </c>
      <c r="M29" s="56">
        <f t="shared" si="4"/>
        <v>637</v>
      </c>
      <c r="N29" s="56">
        <f t="shared" si="4"/>
        <v>544</v>
      </c>
      <c r="O29" s="56">
        <f t="shared" si="4"/>
        <v>170</v>
      </c>
      <c r="P29" s="56">
        <f t="shared" si="4"/>
        <v>502</v>
      </c>
      <c r="Q29" s="56">
        <f t="shared" si="4"/>
        <v>2220</v>
      </c>
      <c r="R29" s="56">
        <f>R20+R26</f>
        <v>548</v>
      </c>
      <c r="S29" s="56">
        <f>S20+S26</f>
        <v>568</v>
      </c>
      <c r="T29" s="56">
        <f>T20+T26</f>
        <v>527</v>
      </c>
      <c r="U29" s="64">
        <f>U20+U26</f>
        <v>570</v>
      </c>
      <c r="V29" s="56">
        <f>V20+V26</f>
        <v>536</v>
      </c>
      <c r="W29" s="42"/>
      <c r="X29" s="42"/>
      <c r="Y29" s="42"/>
      <c r="Z29" s="42"/>
      <c r="AA29" s="42"/>
      <c r="AB29" s="42"/>
    </row>
    <row r="30" spans="1:28" ht="12.75">
      <c r="A30" s="1"/>
      <c r="B30" s="2" t="s">
        <v>17</v>
      </c>
      <c r="C30" s="58"/>
      <c r="D30" s="61"/>
      <c r="E30" s="61"/>
      <c r="F30" s="61"/>
      <c r="G30" s="61"/>
      <c r="H30" s="61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64"/>
      <c r="V30" s="56"/>
      <c r="W30" s="42"/>
      <c r="X30" s="42"/>
      <c r="Y30" s="42"/>
      <c r="Z30" s="42"/>
      <c r="AA30" s="42"/>
      <c r="AB30" s="42"/>
    </row>
    <row r="31" spans="1:28" ht="12.75">
      <c r="A31" s="1"/>
      <c r="C31" s="8"/>
      <c r="D31" s="13"/>
      <c r="E31" s="13"/>
      <c r="F31" s="13"/>
      <c r="G31" s="13"/>
      <c r="H31" s="17"/>
      <c r="I31" s="13"/>
      <c r="J31" s="13"/>
      <c r="K31" s="13"/>
      <c r="L31" s="13"/>
      <c r="M31" s="13"/>
      <c r="N31" s="13"/>
      <c r="O31" s="13"/>
      <c r="P31" s="13"/>
      <c r="Q31" s="13"/>
      <c r="R31" s="5"/>
      <c r="S31" s="5"/>
      <c r="T31" s="5"/>
      <c r="U31" s="19"/>
      <c r="V31" s="5"/>
      <c r="W31" s="42"/>
      <c r="X31" s="42"/>
      <c r="Y31" s="42"/>
      <c r="Z31" s="42"/>
      <c r="AA31" s="42"/>
      <c r="AB31" s="42"/>
    </row>
    <row r="32" spans="1:28" ht="12.75">
      <c r="A32" s="1">
        <v>6</v>
      </c>
      <c r="B32" s="2" t="s">
        <v>18</v>
      </c>
      <c r="C32" s="8">
        <v>0</v>
      </c>
      <c r="D32" s="13">
        <v>0</v>
      </c>
      <c r="E32" s="13">
        <v>0</v>
      </c>
      <c r="F32" s="13">
        <v>0</v>
      </c>
      <c r="G32" s="13">
        <v>0</v>
      </c>
      <c r="H32" s="17">
        <v>0</v>
      </c>
      <c r="I32" s="13">
        <v>0</v>
      </c>
      <c r="J32" s="13">
        <v>0</v>
      </c>
      <c r="K32" s="13">
        <v>0</v>
      </c>
      <c r="L32" s="13">
        <v>0</v>
      </c>
      <c r="M32" s="25">
        <v>0</v>
      </c>
      <c r="N32" s="13">
        <v>0</v>
      </c>
      <c r="O32" s="13">
        <v>0</v>
      </c>
      <c r="P32" s="13">
        <v>0</v>
      </c>
      <c r="Q32" s="13">
        <v>0</v>
      </c>
      <c r="R32" s="5"/>
      <c r="S32" s="5"/>
      <c r="T32" s="5"/>
      <c r="U32" s="19">
        <v>0</v>
      </c>
      <c r="V32" s="5">
        <v>0</v>
      </c>
      <c r="W32" s="42"/>
      <c r="X32" s="42"/>
      <c r="Y32" s="42"/>
      <c r="Z32" s="42"/>
      <c r="AA32" s="42"/>
      <c r="AB32" s="42"/>
    </row>
    <row r="33" spans="1:28" ht="12.75">
      <c r="A33" s="1"/>
      <c r="C33" s="8"/>
      <c r="D33" s="13"/>
      <c r="E33" s="13"/>
      <c r="F33" s="13"/>
      <c r="G33" s="13"/>
      <c r="H33" s="17"/>
      <c r="I33" s="13"/>
      <c r="J33" s="13"/>
      <c r="K33" s="13"/>
      <c r="L33" s="13"/>
      <c r="M33" s="13"/>
      <c r="N33" s="13"/>
      <c r="O33" s="13"/>
      <c r="P33" s="13"/>
      <c r="Q33" s="13"/>
      <c r="R33" s="5"/>
      <c r="S33" s="5"/>
      <c r="T33" s="5"/>
      <c r="U33" s="19"/>
      <c r="V33" s="5"/>
      <c r="W33" s="42"/>
      <c r="X33" s="42"/>
      <c r="Y33" s="42"/>
      <c r="Z33" s="42"/>
      <c r="AA33" s="42"/>
      <c r="AB33" s="42"/>
    </row>
    <row r="34" spans="1:28" ht="12.75">
      <c r="A34" s="1">
        <v>7</v>
      </c>
      <c r="B34" s="2" t="s">
        <v>19</v>
      </c>
      <c r="C34" s="57">
        <f aca="true" t="shared" si="5" ref="C34:H34">C29-C32</f>
        <v>3369</v>
      </c>
      <c r="D34" s="60">
        <f t="shared" si="5"/>
        <v>2086</v>
      </c>
      <c r="E34" s="60">
        <f t="shared" si="5"/>
        <v>1630</v>
      </c>
      <c r="F34" s="60">
        <f t="shared" si="5"/>
        <v>945</v>
      </c>
      <c r="G34" s="60">
        <f t="shared" si="5"/>
        <v>301</v>
      </c>
      <c r="H34" s="60">
        <f t="shared" si="5"/>
        <v>1300</v>
      </c>
      <c r="I34" s="56">
        <f aca="true" t="shared" si="6" ref="I34:Q34">I29-I32</f>
        <v>853</v>
      </c>
      <c r="J34" s="56">
        <f t="shared" si="6"/>
        <v>246</v>
      </c>
      <c r="K34" s="56">
        <f t="shared" si="6"/>
        <v>263</v>
      </c>
      <c r="L34" s="56">
        <f t="shared" si="6"/>
        <v>439</v>
      </c>
      <c r="M34" s="56">
        <f t="shared" si="6"/>
        <v>637</v>
      </c>
      <c r="N34" s="56">
        <f t="shared" si="6"/>
        <v>544</v>
      </c>
      <c r="O34" s="56">
        <f t="shared" si="6"/>
        <v>170</v>
      </c>
      <c r="P34" s="56">
        <f t="shared" si="6"/>
        <v>502</v>
      </c>
      <c r="Q34" s="56">
        <f t="shared" si="6"/>
        <v>2220</v>
      </c>
      <c r="R34" s="56">
        <f>R29-R32</f>
        <v>548</v>
      </c>
      <c r="S34" s="56">
        <f>S29-S32</f>
        <v>568</v>
      </c>
      <c r="T34" s="56">
        <f>T29-T32</f>
        <v>527</v>
      </c>
      <c r="U34" s="64">
        <f>U29-U32</f>
        <v>570</v>
      </c>
      <c r="V34" s="56">
        <f>V29-V32</f>
        <v>536</v>
      </c>
      <c r="W34" s="42"/>
      <c r="X34" s="42"/>
      <c r="Y34" s="42"/>
      <c r="Z34" s="42"/>
      <c r="AA34" s="42"/>
      <c r="AB34" s="42"/>
    </row>
    <row r="35" spans="1:28" ht="12.75">
      <c r="A35" s="1"/>
      <c r="B35" s="2" t="s">
        <v>20</v>
      </c>
      <c r="C35" s="58"/>
      <c r="D35" s="61"/>
      <c r="E35" s="61"/>
      <c r="F35" s="61"/>
      <c r="G35" s="61"/>
      <c r="H35" s="61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64"/>
      <c r="V35" s="56"/>
      <c r="W35" s="42"/>
      <c r="X35" s="42"/>
      <c r="Y35" s="42"/>
      <c r="Z35" s="42"/>
      <c r="AA35" s="42"/>
      <c r="AB35" s="42"/>
    </row>
    <row r="36" spans="1:28" ht="12.75">
      <c r="A36" s="1"/>
      <c r="C36" s="8"/>
      <c r="D36" s="13"/>
      <c r="E36" s="13"/>
      <c r="F36" s="13"/>
      <c r="G36" s="13"/>
      <c r="H36" s="17"/>
      <c r="I36" s="13"/>
      <c r="J36" s="13"/>
      <c r="K36" s="13"/>
      <c r="L36" s="13"/>
      <c r="M36" s="13"/>
      <c r="N36" s="13"/>
      <c r="O36" s="13"/>
      <c r="P36" s="13"/>
      <c r="Q36" s="13"/>
      <c r="R36" s="5"/>
      <c r="S36" s="5"/>
      <c r="T36" s="5"/>
      <c r="U36" s="19"/>
      <c r="V36" s="5"/>
      <c r="W36" s="42"/>
      <c r="X36" s="42"/>
      <c r="Y36" s="42"/>
      <c r="Z36" s="42"/>
      <c r="AA36" s="42"/>
      <c r="AB36" s="42"/>
    </row>
    <row r="37" spans="1:28" ht="12.75">
      <c r="A37" s="1">
        <v>8</v>
      </c>
      <c r="B37" s="2" t="s">
        <v>21</v>
      </c>
      <c r="C37" s="8">
        <v>0</v>
      </c>
      <c r="D37" s="13">
        <v>0</v>
      </c>
      <c r="E37" s="13">
        <v>0</v>
      </c>
      <c r="F37" s="13">
        <v>0</v>
      </c>
      <c r="G37" s="13">
        <v>0</v>
      </c>
      <c r="H37" s="17">
        <v>0</v>
      </c>
      <c r="I37" s="26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5"/>
      <c r="S37" s="5"/>
      <c r="T37" s="5"/>
      <c r="U37" s="19"/>
      <c r="V37" s="5"/>
      <c r="W37" s="42"/>
      <c r="X37" s="42"/>
      <c r="Y37" s="42"/>
      <c r="Z37" s="42"/>
      <c r="AA37" s="42"/>
      <c r="AB37" s="42"/>
    </row>
    <row r="38" spans="1:28" ht="12.75">
      <c r="A38" s="1"/>
      <c r="C38" s="8"/>
      <c r="D38" s="13"/>
      <c r="E38" s="13"/>
      <c r="F38" s="13"/>
      <c r="G38" s="13"/>
      <c r="H38" s="17"/>
      <c r="I38" s="13"/>
      <c r="J38" s="13"/>
      <c r="K38" s="13"/>
      <c r="L38" s="13"/>
      <c r="M38" s="13"/>
      <c r="N38" s="13"/>
      <c r="O38" s="13"/>
      <c r="P38" s="13"/>
      <c r="Q38" s="13"/>
      <c r="R38" s="5"/>
      <c r="S38" s="5"/>
      <c r="T38" s="5"/>
      <c r="U38" s="19"/>
      <c r="V38" s="5"/>
      <c r="W38" s="42"/>
      <c r="X38" s="42"/>
      <c r="Y38" s="42"/>
      <c r="Z38" s="42"/>
      <c r="AA38" s="42"/>
      <c r="AB38" s="42"/>
    </row>
    <row r="39" spans="1:28" ht="12.75">
      <c r="A39" s="1">
        <v>9</v>
      </c>
      <c r="B39" s="2" t="s">
        <v>22</v>
      </c>
      <c r="C39" s="9">
        <f aca="true" t="shared" si="7" ref="C39:V39">C34-C37</f>
        <v>3369</v>
      </c>
      <c r="D39" s="12">
        <f t="shared" si="7"/>
        <v>2086</v>
      </c>
      <c r="E39" s="12">
        <f t="shared" si="7"/>
        <v>1630</v>
      </c>
      <c r="F39" s="12">
        <f t="shared" si="7"/>
        <v>945</v>
      </c>
      <c r="G39" s="12">
        <f t="shared" si="7"/>
        <v>301</v>
      </c>
      <c r="H39" s="20">
        <f t="shared" si="7"/>
        <v>1300</v>
      </c>
      <c r="I39" s="12">
        <f t="shared" si="7"/>
        <v>853</v>
      </c>
      <c r="J39" s="12">
        <f t="shared" si="7"/>
        <v>246</v>
      </c>
      <c r="K39" s="12">
        <f t="shared" si="7"/>
        <v>263</v>
      </c>
      <c r="L39" s="12">
        <f t="shared" si="7"/>
        <v>439</v>
      </c>
      <c r="M39" s="12">
        <f t="shared" si="7"/>
        <v>637</v>
      </c>
      <c r="N39" s="12">
        <f t="shared" si="7"/>
        <v>544</v>
      </c>
      <c r="O39" s="12">
        <f t="shared" si="7"/>
        <v>170</v>
      </c>
      <c r="P39" s="12">
        <f t="shared" si="7"/>
        <v>502</v>
      </c>
      <c r="Q39" s="12">
        <f t="shared" si="7"/>
        <v>2220</v>
      </c>
      <c r="R39" s="12">
        <f t="shared" si="7"/>
        <v>548</v>
      </c>
      <c r="S39" s="12">
        <f t="shared" si="7"/>
        <v>568</v>
      </c>
      <c r="T39" s="12">
        <f t="shared" si="7"/>
        <v>527</v>
      </c>
      <c r="U39" s="20">
        <f t="shared" si="7"/>
        <v>570</v>
      </c>
      <c r="V39" s="12">
        <f t="shared" si="7"/>
        <v>536</v>
      </c>
      <c r="W39" s="44"/>
      <c r="X39" s="44"/>
      <c r="Y39" s="44"/>
      <c r="Z39" s="44"/>
      <c r="AA39" s="44"/>
      <c r="AB39" s="42"/>
    </row>
    <row r="40" spans="1:28" ht="12.75">
      <c r="A40" s="1"/>
      <c r="C40" s="14"/>
      <c r="D40" s="14"/>
      <c r="E40" s="14"/>
      <c r="F40" s="14"/>
      <c r="G40" s="14"/>
      <c r="H40" s="14"/>
      <c r="I40" s="13"/>
      <c r="J40" s="13"/>
      <c r="K40" s="13"/>
      <c r="L40" s="13"/>
      <c r="M40" s="13"/>
      <c r="N40" s="13"/>
      <c r="O40" s="13"/>
      <c r="P40" s="13"/>
      <c r="Q40" s="13"/>
      <c r="R40" s="5"/>
      <c r="S40" s="5"/>
      <c r="T40" s="5"/>
      <c r="U40" s="19"/>
      <c r="V40" s="5"/>
      <c r="W40" s="42"/>
      <c r="X40" s="42"/>
      <c r="Y40" s="42"/>
      <c r="Z40" s="42"/>
      <c r="AA40" s="42"/>
      <c r="AB40" s="42"/>
    </row>
    <row r="41" spans="1:28" ht="12.75">
      <c r="A41" s="1">
        <v>10</v>
      </c>
      <c r="B41" s="2" t="s">
        <v>23</v>
      </c>
      <c r="C41" s="14"/>
      <c r="D41" s="14"/>
      <c r="E41" s="14"/>
      <c r="F41" s="14"/>
      <c r="G41" s="14"/>
      <c r="H41" s="14"/>
      <c r="I41" s="13"/>
      <c r="J41" s="13"/>
      <c r="K41" s="13"/>
      <c r="L41" s="13"/>
      <c r="M41" s="13"/>
      <c r="N41" s="13"/>
      <c r="O41" s="13"/>
      <c r="P41" s="13"/>
      <c r="Q41" s="13"/>
      <c r="R41" s="5"/>
      <c r="S41" s="5"/>
      <c r="T41" s="5"/>
      <c r="U41" s="19"/>
      <c r="V41" s="5"/>
      <c r="W41" s="42"/>
      <c r="X41" s="42"/>
      <c r="Y41" s="42"/>
      <c r="Z41" s="42"/>
      <c r="AA41" s="42"/>
      <c r="AB41" s="42"/>
    </row>
    <row r="42" spans="1:28" ht="12.75">
      <c r="A42" s="1"/>
      <c r="B42" s="3" t="s">
        <v>24</v>
      </c>
      <c r="C42" s="14">
        <v>1550</v>
      </c>
      <c r="D42" s="14">
        <v>401</v>
      </c>
      <c r="E42" s="14">
        <v>275</v>
      </c>
      <c r="F42" s="14">
        <v>400</v>
      </c>
      <c r="G42" s="14">
        <v>55</v>
      </c>
      <c r="H42" s="14">
        <f>510+8</f>
        <v>518</v>
      </c>
      <c r="I42" s="13">
        <v>284</v>
      </c>
      <c r="J42" s="13">
        <f>165+9</f>
        <v>174</v>
      </c>
      <c r="K42" s="13">
        <v>156</v>
      </c>
      <c r="L42" s="13">
        <v>160</v>
      </c>
      <c r="M42" s="13">
        <v>250</v>
      </c>
      <c r="N42" s="13">
        <v>200</v>
      </c>
      <c r="O42" s="13">
        <v>88</v>
      </c>
      <c r="P42" s="13">
        <v>152</v>
      </c>
      <c r="Q42" s="13">
        <v>155</v>
      </c>
      <c r="R42" s="28">
        <v>165</v>
      </c>
      <c r="S42" s="28">
        <v>165</v>
      </c>
      <c r="T42" s="28">
        <v>165</v>
      </c>
      <c r="U42" s="39">
        <v>165</v>
      </c>
      <c r="V42" s="28">
        <v>120</v>
      </c>
      <c r="W42" s="42"/>
      <c r="X42" s="42"/>
      <c r="Y42" s="42"/>
      <c r="Z42" s="42"/>
      <c r="AA42" s="42"/>
      <c r="AB42" s="42"/>
    </row>
    <row r="43" spans="2:28" ht="12.75">
      <c r="B43" s="3" t="s">
        <v>25</v>
      </c>
      <c r="C43" s="14">
        <v>16</v>
      </c>
      <c r="D43" s="14">
        <v>19</v>
      </c>
      <c r="E43" s="14">
        <v>7</v>
      </c>
      <c r="F43" s="14">
        <v>244</v>
      </c>
      <c r="G43" s="14">
        <v>71</v>
      </c>
      <c r="H43" s="14">
        <v>-53</v>
      </c>
      <c r="I43" s="13">
        <v>186</v>
      </c>
      <c r="J43" s="13">
        <v>-130</v>
      </c>
      <c r="K43" s="13">
        <v>77</v>
      </c>
      <c r="L43" s="13">
        <v>25</v>
      </c>
      <c r="M43" s="13">
        <v>-26</v>
      </c>
      <c r="N43" s="13">
        <v>0</v>
      </c>
      <c r="O43" s="13"/>
      <c r="P43" s="13"/>
      <c r="Q43" s="13"/>
      <c r="R43" s="5"/>
      <c r="S43" s="5"/>
      <c r="T43" s="5"/>
      <c r="U43" s="19"/>
      <c r="V43" s="5"/>
      <c r="W43" s="42"/>
      <c r="X43" s="42"/>
      <c r="Y43" s="42"/>
      <c r="Z43" s="42"/>
      <c r="AA43" s="42"/>
      <c r="AB43" s="42"/>
    </row>
    <row r="44" spans="2:28" ht="12.75">
      <c r="B44" s="3" t="s">
        <v>96</v>
      </c>
      <c r="C44" s="14">
        <v>-44</v>
      </c>
      <c r="D44" s="14">
        <v>-174</v>
      </c>
      <c r="E44" s="14">
        <v>0</v>
      </c>
      <c r="F44" s="14">
        <v>-166</v>
      </c>
      <c r="G44" s="14">
        <v>11</v>
      </c>
      <c r="H44" s="14">
        <v>5</v>
      </c>
      <c r="I44" s="13">
        <v>0</v>
      </c>
      <c r="J44" s="13">
        <v>0</v>
      </c>
      <c r="K44" s="13">
        <v>0</v>
      </c>
      <c r="L44" s="13">
        <v>0</v>
      </c>
      <c r="M44" s="13"/>
      <c r="N44" s="13">
        <v>0</v>
      </c>
      <c r="O44" s="13"/>
      <c r="P44" s="13"/>
      <c r="Q44" s="13"/>
      <c r="R44" s="5"/>
      <c r="S44" s="5"/>
      <c r="T44" s="5">
        <v>30</v>
      </c>
      <c r="U44" s="19">
        <v>2</v>
      </c>
      <c r="V44" s="5"/>
      <c r="W44" s="42"/>
      <c r="X44" s="42"/>
      <c r="Y44" s="42"/>
      <c r="Z44" s="42"/>
      <c r="AA44" s="42"/>
      <c r="AB44" s="42"/>
    </row>
    <row r="45" spans="2:28" ht="12.75">
      <c r="B45" s="4" t="s">
        <v>8</v>
      </c>
      <c r="C45" s="18">
        <f aca="true" t="shared" si="8" ref="C45:J45">SUM(C42:C44)</f>
        <v>1522</v>
      </c>
      <c r="D45" s="18">
        <f t="shared" si="8"/>
        <v>246</v>
      </c>
      <c r="E45" s="18">
        <f t="shared" si="8"/>
        <v>282</v>
      </c>
      <c r="F45" s="18">
        <f t="shared" si="8"/>
        <v>478</v>
      </c>
      <c r="G45" s="18">
        <f t="shared" si="8"/>
        <v>137</v>
      </c>
      <c r="H45" s="18">
        <f t="shared" si="8"/>
        <v>470</v>
      </c>
      <c r="I45" s="12">
        <f t="shared" si="8"/>
        <v>470</v>
      </c>
      <c r="J45" s="12">
        <f t="shared" si="8"/>
        <v>44</v>
      </c>
      <c r="K45" s="12">
        <f aca="true" t="shared" si="9" ref="K45:Q45">SUM(K42:K44)</f>
        <v>233</v>
      </c>
      <c r="L45" s="12">
        <f t="shared" si="9"/>
        <v>185</v>
      </c>
      <c r="M45" s="12">
        <f t="shared" si="9"/>
        <v>224</v>
      </c>
      <c r="N45" s="12">
        <f t="shared" si="9"/>
        <v>200</v>
      </c>
      <c r="O45" s="12">
        <f t="shared" si="9"/>
        <v>88</v>
      </c>
      <c r="P45" s="12">
        <f t="shared" si="9"/>
        <v>152</v>
      </c>
      <c r="Q45" s="12">
        <f t="shared" si="9"/>
        <v>155</v>
      </c>
      <c r="R45" s="12">
        <f>SUM(R42:R44)</f>
        <v>165</v>
      </c>
      <c r="S45" s="12">
        <f>SUM(S42:S44)</f>
        <v>165</v>
      </c>
      <c r="T45" s="12">
        <f>SUM(T42:T44)</f>
        <v>195</v>
      </c>
      <c r="U45" s="20">
        <f>SUM(U42:U44)</f>
        <v>167</v>
      </c>
      <c r="V45" s="12">
        <f>SUM(V42:V44)</f>
        <v>120</v>
      </c>
      <c r="W45" s="44"/>
      <c r="X45" s="44"/>
      <c r="Y45" s="44"/>
      <c r="Z45" s="44"/>
      <c r="AA45" s="44"/>
      <c r="AB45" s="42"/>
    </row>
    <row r="46" spans="3:28" ht="12.75">
      <c r="C46" s="14"/>
      <c r="D46" s="14"/>
      <c r="E46" s="14"/>
      <c r="F46" s="14"/>
      <c r="G46" s="14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5"/>
      <c r="S46" s="5"/>
      <c r="T46" s="5"/>
      <c r="U46" s="19"/>
      <c r="V46" s="5"/>
      <c r="W46" s="42"/>
      <c r="X46" s="42"/>
      <c r="Y46" s="42"/>
      <c r="Z46" s="42"/>
      <c r="AA46" s="42"/>
      <c r="AB46" s="42"/>
    </row>
    <row r="47" spans="1:28" ht="12.75">
      <c r="A47" s="1">
        <v>11</v>
      </c>
      <c r="B47" s="2" t="s">
        <v>26</v>
      </c>
      <c r="C47" s="18">
        <f aca="true" t="shared" si="10" ref="C47:V47">C39-C45</f>
        <v>1847</v>
      </c>
      <c r="D47" s="18">
        <f t="shared" si="10"/>
        <v>1840</v>
      </c>
      <c r="E47" s="18">
        <f t="shared" si="10"/>
        <v>1348</v>
      </c>
      <c r="F47" s="18">
        <f t="shared" si="10"/>
        <v>467</v>
      </c>
      <c r="G47" s="18">
        <f t="shared" si="10"/>
        <v>164</v>
      </c>
      <c r="H47" s="18">
        <f t="shared" si="10"/>
        <v>830</v>
      </c>
      <c r="I47" s="12">
        <f t="shared" si="10"/>
        <v>383</v>
      </c>
      <c r="J47" s="12">
        <f t="shared" si="10"/>
        <v>202</v>
      </c>
      <c r="K47" s="12">
        <f t="shared" si="10"/>
        <v>30</v>
      </c>
      <c r="L47" s="12">
        <f t="shared" si="10"/>
        <v>254</v>
      </c>
      <c r="M47" s="12">
        <f t="shared" si="10"/>
        <v>413</v>
      </c>
      <c r="N47" s="12">
        <f t="shared" si="10"/>
        <v>344</v>
      </c>
      <c r="O47" s="12">
        <f t="shared" si="10"/>
        <v>82</v>
      </c>
      <c r="P47" s="12">
        <f t="shared" si="10"/>
        <v>350</v>
      </c>
      <c r="Q47" s="12">
        <f t="shared" si="10"/>
        <v>2065</v>
      </c>
      <c r="R47" s="29">
        <f t="shared" si="10"/>
        <v>383</v>
      </c>
      <c r="S47" s="29">
        <f t="shared" si="10"/>
        <v>403</v>
      </c>
      <c r="T47" s="29">
        <f t="shared" si="10"/>
        <v>332</v>
      </c>
      <c r="U47" s="40">
        <f t="shared" si="10"/>
        <v>403</v>
      </c>
      <c r="V47" s="29">
        <f t="shared" si="10"/>
        <v>416</v>
      </c>
      <c r="W47" s="45"/>
      <c r="X47" s="45"/>
      <c r="Y47" s="45"/>
      <c r="Z47" s="45"/>
      <c r="AA47" s="45"/>
      <c r="AB47" s="42"/>
    </row>
    <row r="48" spans="1:28" ht="12.75">
      <c r="A48" s="1"/>
      <c r="B48" s="2"/>
      <c r="C48" s="18"/>
      <c r="D48" s="18"/>
      <c r="E48" s="18"/>
      <c r="F48" s="18"/>
      <c r="G48" s="18"/>
      <c r="H48" s="18"/>
      <c r="I48" s="12"/>
      <c r="J48" s="12"/>
      <c r="K48" s="12"/>
      <c r="L48" s="12"/>
      <c r="M48" s="12"/>
      <c r="N48" s="12"/>
      <c r="O48" s="12"/>
      <c r="P48" s="12"/>
      <c r="Q48" s="12"/>
      <c r="R48" s="29"/>
      <c r="S48" s="29"/>
      <c r="T48" s="29"/>
      <c r="U48" s="40"/>
      <c r="V48" s="29"/>
      <c r="W48" s="45"/>
      <c r="X48" s="45"/>
      <c r="Y48" s="45"/>
      <c r="Z48" s="45"/>
      <c r="AA48" s="45"/>
      <c r="AB48" s="42"/>
    </row>
    <row r="49" spans="1:28" ht="12.75">
      <c r="A49" s="1"/>
      <c r="B49" s="34" t="s">
        <v>91</v>
      </c>
      <c r="C49" s="18">
        <v>63</v>
      </c>
      <c r="D49" s="18">
        <v>63</v>
      </c>
      <c r="E49" s="18">
        <v>63</v>
      </c>
      <c r="F49" s="18">
        <v>63</v>
      </c>
      <c r="G49" s="18">
        <v>63</v>
      </c>
      <c r="H49" s="18">
        <v>63</v>
      </c>
      <c r="I49" s="12">
        <v>63</v>
      </c>
      <c r="J49" s="12">
        <v>31</v>
      </c>
      <c r="K49" s="12">
        <v>31</v>
      </c>
      <c r="L49" s="12">
        <v>31</v>
      </c>
      <c r="M49" s="12">
        <v>63</v>
      </c>
      <c r="N49" s="12">
        <v>63</v>
      </c>
      <c r="O49" s="12">
        <v>31</v>
      </c>
      <c r="P49" s="12">
        <v>63</v>
      </c>
      <c r="Q49" s="12">
        <v>58</v>
      </c>
      <c r="R49" s="29">
        <v>57</v>
      </c>
      <c r="S49" s="29">
        <v>53</v>
      </c>
      <c r="T49" s="29">
        <v>53</v>
      </c>
      <c r="U49" s="40">
        <v>43</v>
      </c>
      <c r="V49" s="29">
        <v>43</v>
      </c>
      <c r="W49" s="45"/>
      <c r="X49" s="45"/>
      <c r="Y49" s="45"/>
      <c r="Z49" s="45"/>
      <c r="AA49" s="45"/>
      <c r="AB49" s="42"/>
    </row>
    <row r="50" spans="1:28" ht="12.75">
      <c r="A50" s="1"/>
      <c r="B50" s="1" t="s">
        <v>90</v>
      </c>
      <c r="C50" s="18">
        <v>10</v>
      </c>
      <c r="D50" s="18">
        <v>10</v>
      </c>
      <c r="E50" s="18">
        <v>10</v>
      </c>
      <c r="F50" s="18">
        <v>10</v>
      </c>
      <c r="G50" s="18">
        <v>10</v>
      </c>
      <c r="H50" s="18">
        <v>10</v>
      </c>
      <c r="I50" s="12">
        <v>10</v>
      </c>
      <c r="J50" s="12">
        <v>5</v>
      </c>
      <c r="K50" s="12">
        <v>4</v>
      </c>
      <c r="L50" s="12">
        <v>4</v>
      </c>
      <c r="M50" s="12">
        <v>0</v>
      </c>
      <c r="N50" s="12">
        <v>0</v>
      </c>
      <c r="O50" s="12">
        <v>0</v>
      </c>
      <c r="P50" s="12">
        <v>6</v>
      </c>
      <c r="Q50" s="12">
        <v>6</v>
      </c>
      <c r="R50" s="30">
        <v>6</v>
      </c>
      <c r="S50" s="30">
        <v>6</v>
      </c>
      <c r="T50" s="30">
        <v>5</v>
      </c>
      <c r="U50" s="41">
        <v>4</v>
      </c>
      <c r="V50" s="30">
        <v>0</v>
      </c>
      <c r="W50" s="6"/>
      <c r="X50" s="42"/>
      <c r="Y50" s="42"/>
      <c r="Z50" s="42"/>
      <c r="AA50" s="42"/>
      <c r="AB50" s="42"/>
    </row>
    <row r="51" spans="1:28" ht="12.75">
      <c r="A51" s="1"/>
      <c r="B51" s="1" t="s">
        <v>92</v>
      </c>
      <c r="C51" s="18">
        <v>10</v>
      </c>
      <c r="D51" s="18">
        <f aca="true" t="shared" si="11" ref="D51:V51">D49/D53*100</f>
        <v>10.031847133757962</v>
      </c>
      <c r="E51" s="18">
        <f t="shared" si="11"/>
        <v>10.031847133757962</v>
      </c>
      <c r="F51" s="18">
        <f t="shared" si="11"/>
        <v>10.031847133757962</v>
      </c>
      <c r="G51" s="18">
        <f t="shared" si="11"/>
        <v>10.031847133757962</v>
      </c>
      <c r="H51" s="18">
        <f t="shared" si="11"/>
        <v>10.031847133757962</v>
      </c>
      <c r="I51" s="18">
        <f t="shared" si="11"/>
        <v>10.031847133757962</v>
      </c>
      <c r="J51" s="18">
        <f t="shared" si="11"/>
        <v>4.936305732484077</v>
      </c>
      <c r="K51" s="18">
        <f t="shared" si="11"/>
        <v>4.936305732484077</v>
      </c>
      <c r="L51" s="18">
        <f t="shared" si="11"/>
        <v>4.936305732484077</v>
      </c>
      <c r="M51" s="18">
        <f t="shared" si="11"/>
        <v>10.031847133757962</v>
      </c>
      <c r="N51" s="18">
        <f t="shared" si="11"/>
        <v>10.031847133757962</v>
      </c>
      <c r="O51" s="18">
        <f t="shared" si="11"/>
        <v>4.936305732484077</v>
      </c>
      <c r="P51" s="18">
        <f t="shared" si="11"/>
        <v>10.031847133757962</v>
      </c>
      <c r="Q51" s="18">
        <f t="shared" si="11"/>
        <v>10.034602076124568</v>
      </c>
      <c r="R51" s="18">
        <f t="shared" si="11"/>
        <v>9.86159169550173</v>
      </c>
      <c r="S51" s="18">
        <f t="shared" si="11"/>
        <v>10.037878787878787</v>
      </c>
      <c r="T51" s="18">
        <f t="shared" si="11"/>
        <v>10.037878787878787</v>
      </c>
      <c r="U51" s="18">
        <f t="shared" si="11"/>
        <v>10.046728971962617</v>
      </c>
      <c r="V51" s="47">
        <f t="shared" si="11"/>
        <v>10.046728971962617</v>
      </c>
      <c r="W51" s="6"/>
      <c r="X51" s="42"/>
      <c r="Y51" s="42"/>
      <c r="Z51" s="42"/>
      <c r="AA51" s="42"/>
      <c r="AB51" s="42"/>
    </row>
    <row r="52" spans="1:28" ht="12.75">
      <c r="A52" s="1"/>
      <c r="B52" s="1"/>
      <c r="C52" s="14"/>
      <c r="D52" s="14"/>
      <c r="E52" s="14"/>
      <c r="F52" s="14"/>
      <c r="G52" s="14"/>
      <c r="H52" s="14"/>
      <c r="I52" s="13"/>
      <c r="J52" s="13"/>
      <c r="K52" s="13"/>
      <c r="L52" s="13"/>
      <c r="M52" s="13"/>
      <c r="N52" s="13"/>
      <c r="O52" s="13"/>
      <c r="P52" s="13"/>
      <c r="Q52" s="13"/>
      <c r="R52" s="5"/>
      <c r="S52" s="5"/>
      <c r="T52" s="5"/>
      <c r="U52" s="19"/>
      <c r="V52" s="5"/>
      <c r="W52" s="42"/>
      <c r="X52" s="42"/>
      <c r="Y52" s="42"/>
      <c r="Z52" s="42"/>
      <c r="AA52" s="42"/>
      <c r="AB52" s="42"/>
    </row>
    <row r="53" spans="1:28" ht="12.75">
      <c r="A53" s="1">
        <v>12</v>
      </c>
      <c r="B53" s="2" t="s">
        <v>15</v>
      </c>
      <c r="C53" s="18">
        <v>628</v>
      </c>
      <c r="D53" s="18">
        <v>628</v>
      </c>
      <c r="E53" s="18">
        <v>628</v>
      </c>
      <c r="F53" s="18">
        <v>628</v>
      </c>
      <c r="G53" s="18">
        <v>628</v>
      </c>
      <c r="H53" s="18">
        <v>628</v>
      </c>
      <c r="I53" s="12">
        <v>628</v>
      </c>
      <c r="J53" s="12">
        <v>628</v>
      </c>
      <c r="K53" s="12">
        <v>628</v>
      </c>
      <c r="L53" s="12">
        <v>628</v>
      </c>
      <c r="M53" s="12">
        <v>628</v>
      </c>
      <c r="N53" s="12">
        <v>628</v>
      </c>
      <c r="O53" s="12">
        <v>628</v>
      </c>
      <c r="P53" s="12">
        <v>628</v>
      </c>
      <c r="Q53" s="12">
        <v>578</v>
      </c>
      <c r="R53" s="12">
        <v>578</v>
      </c>
      <c r="S53" s="12">
        <v>528</v>
      </c>
      <c r="T53" s="12">
        <v>528</v>
      </c>
      <c r="U53" s="19">
        <v>428</v>
      </c>
      <c r="V53" s="5">
        <v>428</v>
      </c>
      <c r="W53" s="42"/>
      <c r="X53" s="42"/>
      <c r="Y53" s="42"/>
      <c r="Z53" s="42"/>
      <c r="AA53" s="42"/>
      <c r="AB53" s="42"/>
    </row>
    <row r="54" spans="1:28" ht="12.75">
      <c r="A54" s="1"/>
      <c r="C54" s="14"/>
      <c r="D54" s="14"/>
      <c r="E54" s="14"/>
      <c r="F54" s="14"/>
      <c r="G54" s="14"/>
      <c r="H54" s="14"/>
      <c r="I54" s="13"/>
      <c r="J54" s="13"/>
      <c r="K54" s="13"/>
      <c r="L54" s="13"/>
      <c r="M54" s="13"/>
      <c r="N54" s="13"/>
      <c r="O54" s="13"/>
      <c r="P54" s="13"/>
      <c r="Q54" s="13"/>
      <c r="R54" s="5"/>
      <c r="S54" s="5"/>
      <c r="T54" s="5"/>
      <c r="U54" s="19"/>
      <c r="V54" s="5"/>
      <c r="W54" s="42"/>
      <c r="X54" s="42"/>
      <c r="Y54" s="42"/>
      <c r="Z54" s="42"/>
      <c r="AA54" s="42"/>
      <c r="AB54" s="42"/>
    </row>
    <row r="55" spans="1:28" ht="12.75">
      <c r="A55" s="1">
        <v>13</v>
      </c>
      <c r="B55" s="2" t="s">
        <v>27</v>
      </c>
      <c r="C55" s="18">
        <v>294</v>
      </c>
      <c r="D55" s="18">
        <v>293</v>
      </c>
      <c r="E55" s="18">
        <v>215</v>
      </c>
      <c r="F55" s="18">
        <v>74</v>
      </c>
      <c r="G55" s="18">
        <v>26</v>
      </c>
      <c r="H55" s="18">
        <v>132</v>
      </c>
      <c r="I55" s="18">
        <f aca="true" t="shared" si="12" ref="I55:V55">I47/I53*100</f>
        <v>60.98726114649682</v>
      </c>
      <c r="J55" s="18">
        <f t="shared" si="12"/>
        <v>32.1656050955414</v>
      </c>
      <c r="K55" s="18">
        <f t="shared" si="12"/>
        <v>4.777070063694268</v>
      </c>
      <c r="L55" s="18">
        <f t="shared" si="12"/>
        <v>40.445859872611464</v>
      </c>
      <c r="M55" s="18">
        <f t="shared" si="12"/>
        <v>65.76433121019109</v>
      </c>
      <c r="N55" s="18">
        <f t="shared" si="12"/>
        <v>54.77707006369427</v>
      </c>
      <c r="O55" s="18">
        <f t="shared" si="12"/>
        <v>13.05732484076433</v>
      </c>
      <c r="P55" s="18">
        <f t="shared" si="12"/>
        <v>55.73248407643312</v>
      </c>
      <c r="Q55" s="18">
        <f t="shared" si="12"/>
        <v>357.2664359861592</v>
      </c>
      <c r="R55" s="18">
        <f t="shared" si="12"/>
        <v>66.26297577854672</v>
      </c>
      <c r="S55" s="18">
        <f t="shared" si="12"/>
        <v>76.32575757575758</v>
      </c>
      <c r="T55" s="18">
        <f t="shared" si="12"/>
        <v>62.878787878787875</v>
      </c>
      <c r="U55" s="18">
        <f t="shared" si="12"/>
        <v>94.1588785046729</v>
      </c>
      <c r="V55" s="47">
        <f t="shared" si="12"/>
        <v>97.19626168224299</v>
      </c>
      <c r="W55" s="42"/>
      <c r="X55" s="42"/>
      <c r="Y55" s="42"/>
      <c r="Z55" s="42"/>
      <c r="AA55" s="42"/>
      <c r="AB55" s="42"/>
    </row>
    <row r="56" spans="1:28" ht="12.75">
      <c r="A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V56" s="48"/>
      <c r="W56" s="42"/>
      <c r="X56" s="42"/>
      <c r="Y56" s="42"/>
      <c r="Z56" s="42"/>
      <c r="AA56" s="42"/>
      <c r="AB56" s="42"/>
    </row>
    <row r="57" spans="1:28" ht="12.75">
      <c r="A57" s="1"/>
      <c r="B57" s="1" t="s">
        <v>86</v>
      </c>
      <c r="C57" s="32">
        <f>C78+C80</f>
        <v>12864</v>
      </c>
      <c r="D57" s="32">
        <f aca="true" t="shared" si="13" ref="D57:V57">D78+D80</f>
        <v>10895</v>
      </c>
      <c r="E57" s="32">
        <f t="shared" si="13"/>
        <v>9141</v>
      </c>
      <c r="F57" s="32">
        <f t="shared" si="13"/>
        <v>7442</v>
      </c>
      <c r="G57" s="32">
        <f t="shared" si="13"/>
        <v>7050</v>
      </c>
      <c r="H57" s="32">
        <f t="shared" si="13"/>
        <v>6018</v>
      </c>
      <c r="I57" s="32">
        <f t="shared" si="13"/>
        <v>5262</v>
      </c>
      <c r="J57" s="32">
        <f t="shared" si="13"/>
        <v>4951</v>
      </c>
      <c r="K57" s="32">
        <f t="shared" si="13"/>
        <v>5286</v>
      </c>
      <c r="L57" s="32">
        <f t="shared" si="13"/>
        <v>4792</v>
      </c>
      <c r="M57" s="32">
        <f t="shared" si="13"/>
        <v>4515</v>
      </c>
      <c r="N57" s="32">
        <f t="shared" si="13"/>
        <v>4190</v>
      </c>
      <c r="O57" s="32">
        <f t="shared" si="13"/>
        <v>3852</v>
      </c>
      <c r="P57" s="32">
        <f t="shared" si="13"/>
        <v>4402</v>
      </c>
      <c r="Q57" s="32">
        <f t="shared" si="13"/>
        <v>3520</v>
      </c>
      <c r="R57" s="32">
        <f t="shared" si="13"/>
        <v>3064</v>
      </c>
      <c r="S57" s="32">
        <f t="shared" si="13"/>
        <v>2712</v>
      </c>
      <c r="T57" s="32">
        <f t="shared" si="13"/>
        <v>2400</v>
      </c>
      <c r="U57" s="32">
        <f t="shared" si="13"/>
        <v>2004</v>
      </c>
      <c r="V57" s="49">
        <f t="shared" si="13"/>
        <v>1695</v>
      </c>
      <c r="W57" s="42"/>
      <c r="X57" s="42"/>
      <c r="Y57" s="42"/>
      <c r="Z57" s="42"/>
      <c r="AA57" s="42"/>
      <c r="AB57" s="42"/>
    </row>
    <row r="58" spans="1:28" ht="12.75">
      <c r="A58" s="1"/>
      <c r="B58" s="1" t="s">
        <v>87</v>
      </c>
      <c r="C58" s="32">
        <f>C76+C77</f>
        <v>12864</v>
      </c>
      <c r="D58" s="32">
        <f aca="true" t="shared" si="14" ref="D58:V58">D76+D77</f>
        <v>10895</v>
      </c>
      <c r="E58" s="32">
        <f t="shared" si="14"/>
        <v>9141</v>
      </c>
      <c r="F58" s="32">
        <f t="shared" si="14"/>
        <v>7442</v>
      </c>
      <c r="G58" s="32">
        <f t="shared" si="14"/>
        <v>7050</v>
      </c>
      <c r="H58" s="32">
        <f t="shared" si="14"/>
        <v>6018</v>
      </c>
      <c r="I58" s="32">
        <f t="shared" si="14"/>
        <v>5262</v>
      </c>
      <c r="J58" s="32">
        <f t="shared" si="14"/>
        <v>4951</v>
      </c>
      <c r="K58" s="32">
        <f t="shared" si="14"/>
        <v>4786</v>
      </c>
      <c r="L58" s="32">
        <f t="shared" si="14"/>
        <v>4792</v>
      </c>
      <c r="M58" s="32">
        <f t="shared" si="14"/>
        <v>4515</v>
      </c>
      <c r="N58" s="32">
        <f t="shared" si="14"/>
        <v>4190</v>
      </c>
      <c r="O58" s="32">
        <f t="shared" si="14"/>
        <v>3852</v>
      </c>
      <c r="P58" s="32">
        <f t="shared" si="14"/>
        <v>3802</v>
      </c>
      <c r="Q58" s="32">
        <f t="shared" si="14"/>
        <v>3520</v>
      </c>
      <c r="R58" s="32">
        <f t="shared" si="14"/>
        <v>3064</v>
      </c>
      <c r="S58" s="32">
        <f t="shared" si="14"/>
        <v>2712</v>
      </c>
      <c r="T58" s="32">
        <f t="shared" si="14"/>
        <v>2367</v>
      </c>
      <c r="U58" s="32">
        <f t="shared" si="14"/>
        <v>1994</v>
      </c>
      <c r="V58" s="49">
        <f t="shared" si="14"/>
        <v>1638</v>
      </c>
      <c r="W58" s="42"/>
      <c r="X58" s="42"/>
      <c r="Y58" s="42"/>
      <c r="Z58" s="42"/>
      <c r="AA58" s="42"/>
      <c r="AB58" s="42"/>
    </row>
    <row r="59" spans="1:28" ht="12.75">
      <c r="A59" s="1"/>
      <c r="B59" s="1" t="s">
        <v>89</v>
      </c>
      <c r="C59" s="33">
        <f>(C9-(C12+C13+C14))/C9*100</f>
        <v>6.198092894494002</v>
      </c>
      <c r="D59" s="33">
        <f aca="true" t="shared" si="15" ref="D59:V59">(D9-(D12+D13+D14))/D9*100</f>
        <v>6.002832435680106</v>
      </c>
      <c r="E59" s="33">
        <f t="shared" si="15"/>
        <v>4.916055805154882</v>
      </c>
      <c r="F59" s="33">
        <f t="shared" si="15"/>
        <v>4.500385515440907</v>
      </c>
      <c r="G59" s="33">
        <f t="shared" si="15"/>
        <v>4.2457703732403465</v>
      </c>
      <c r="H59" s="33">
        <f t="shared" si="15"/>
        <v>4.479898568334302</v>
      </c>
      <c r="I59" s="33">
        <f t="shared" si="15"/>
        <v>4.6789513677811545</v>
      </c>
      <c r="J59" s="33">
        <f t="shared" si="15"/>
        <v>4.720050791635252</v>
      </c>
      <c r="K59" s="33">
        <f t="shared" si="15"/>
        <v>3.8279662341722682</v>
      </c>
      <c r="L59" s="33">
        <f t="shared" si="15"/>
        <v>3.887608856953177</v>
      </c>
      <c r="M59" s="33">
        <f t="shared" si="15"/>
        <v>3.9035115010474355</v>
      </c>
      <c r="N59" s="33">
        <f t="shared" si="15"/>
        <v>3.8725796377264214</v>
      </c>
      <c r="O59" s="33">
        <f t="shared" si="15"/>
        <v>3.9213963568207113</v>
      </c>
      <c r="P59" s="33">
        <f t="shared" si="15"/>
        <v>3.978145304193739</v>
      </c>
      <c r="Q59" s="33">
        <f t="shared" si="15"/>
        <v>8.810207525385595</v>
      </c>
      <c r="R59" s="33">
        <f t="shared" si="15"/>
        <v>3.7038122307850094</v>
      </c>
      <c r="S59" s="33">
        <f t="shared" si="15"/>
        <v>4.0328576992529115</v>
      </c>
      <c r="T59" s="33">
        <f t="shared" si="15"/>
        <v>4.118706836152537</v>
      </c>
      <c r="U59" s="33">
        <f t="shared" si="15"/>
        <v>4.165977847578112</v>
      </c>
      <c r="V59" s="50">
        <f t="shared" si="15"/>
        <v>3.658739397971063</v>
      </c>
      <c r="W59" s="42"/>
      <c r="X59" s="42"/>
      <c r="Y59" s="42"/>
      <c r="Z59" s="42"/>
      <c r="AA59" s="42"/>
      <c r="AB59" s="42"/>
    </row>
    <row r="60" spans="1:28" ht="12.75">
      <c r="A60" s="1"/>
      <c r="B60" s="1" t="s">
        <v>97</v>
      </c>
      <c r="C60" s="33">
        <f>(C47/C9)*100</f>
        <v>1.775415256844048</v>
      </c>
      <c r="D60" s="33">
        <f>(D47/D9)*100</f>
        <v>1.9741218376499368</v>
      </c>
      <c r="E60" s="33">
        <f>(E47/E9)*100</f>
        <v>1.5937573894537715</v>
      </c>
      <c r="F60" s="33">
        <f>(F47/F9)*100</f>
        <v>0.6317042487859645</v>
      </c>
      <c r="G60" s="33">
        <f>(G47/G9)*100</f>
        <v>0.2647552628180292</v>
      </c>
      <c r="H60" s="33">
        <f>(H47/H9)*100</f>
        <v>1.4616021272474335</v>
      </c>
      <c r="I60" s="33">
        <f>(I47/I9)*100</f>
        <v>0.7275835866261399</v>
      </c>
      <c r="J60" s="33">
        <f>(J47/J9)*100</f>
        <v>0.400777746914805</v>
      </c>
      <c r="K60" s="33">
        <f>(K47/K9)*100</f>
        <v>0.05862122870095357</v>
      </c>
      <c r="L60" s="33">
        <f>(L47/L9)*100</f>
        <v>0.49595813644706527</v>
      </c>
      <c r="M60" s="33">
        <f>(M47/M9)*100</f>
        <v>0.8566154356708772</v>
      </c>
      <c r="N60" s="33">
        <f>(N47/N9)*100</f>
        <v>0.8952737872163231</v>
      </c>
      <c r="O60" s="33">
        <f>(O47/O9)*100</f>
        <v>0.24014525859544308</v>
      </c>
      <c r="P60" s="33">
        <f>(P47/P9)*100</f>
        <v>1.0336680448907265</v>
      </c>
      <c r="Q60" s="33">
        <f>(Q47/Q9)*100</f>
        <v>6.1132656384144</v>
      </c>
      <c r="R60" s="33">
        <f>(R47/R9)*100</f>
        <v>1.1222785477774195</v>
      </c>
      <c r="S60" s="33">
        <f>(S47/S9)*100</f>
        <v>1.4269022412633219</v>
      </c>
      <c r="T60" s="33">
        <f>(T47/T9)*100</f>
        <v>1.66149534581123</v>
      </c>
      <c r="U60" s="33">
        <f>(U47/U9)*100</f>
        <v>2.220752741499972</v>
      </c>
      <c r="V60" s="50">
        <f>(V47/V9)*100</f>
        <v>2.3061145296302454</v>
      </c>
      <c r="W60" s="42"/>
      <c r="X60" s="42"/>
      <c r="Y60" s="42"/>
      <c r="Z60" s="42"/>
      <c r="AA60" s="42"/>
      <c r="AB60" s="42"/>
    </row>
    <row r="61" spans="1:28" ht="12.75">
      <c r="A61" s="1"/>
      <c r="B61" s="1" t="s">
        <v>98</v>
      </c>
      <c r="C61" s="33">
        <f>C39/C9*100</f>
        <v>3.2384266379575517</v>
      </c>
      <c r="D61" s="33">
        <f>D39/D9*100</f>
        <v>2.2380533442053085</v>
      </c>
      <c r="E61" s="33">
        <f>E39/E9*100</f>
        <v>1.9271695436273348</v>
      </c>
      <c r="F61" s="33">
        <f>F39/F9*100</f>
        <v>1.2782880409052173</v>
      </c>
      <c r="G61" s="33">
        <f>G39/G9*100</f>
        <v>0.4859227689526024</v>
      </c>
      <c r="H61" s="33">
        <f>H39/H9*100</f>
        <v>2.2892563438815223</v>
      </c>
      <c r="I61" s="33">
        <f>I39/I9*100</f>
        <v>1.6204407294832825</v>
      </c>
      <c r="J61" s="33">
        <f>J39/J9*100</f>
        <v>0.4880758700051585</v>
      </c>
      <c r="K61" s="33">
        <f>K39/K9*100</f>
        <v>0.513912771611693</v>
      </c>
      <c r="L61" s="33">
        <f>L39/L9*100</f>
        <v>0.8571874877963057</v>
      </c>
      <c r="M61" s="33">
        <f>M39/M9*100</f>
        <v>1.321220417729658</v>
      </c>
      <c r="N61" s="33">
        <f>N39/N9*100</f>
        <v>1.4157818030397669</v>
      </c>
      <c r="O61" s="33">
        <f>O39/O9*100</f>
        <v>0.4978621214783576</v>
      </c>
      <c r="P61" s="33">
        <f>P39/P9*100</f>
        <v>1.4825753101004135</v>
      </c>
      <c r="Q61" s="33">
        <f>Q39/Q9*100</f>
        <v>6.572130613694899</v>
      </c>
      <c r="R61" s="33">
        <f>R39/R9*100</f>
        <v>1.6057666949922347</v>
      </c>
      <c r="S61" s="33">
        <f>S39/S9*100</f>
        <v>2.011117799100662</v>
      </c>
      <c r="T61" s="33">
        <f>T39/T9*100</f>
        <v>2.6373736362726454</v>
      </c>
      <c r="U61" s="33">
        <f>U39/U9*100</f>
        <v>3.1410150438088937</v>
      </c>
      <c r="V61" s="33">
        <f>V39/V9*100</f>
        <v>2.9713398747158934</v>
      </c>
      <c r="W61" s="42"/>
      <c r="X61" s="42"/>
      <c r="Y61" s="42"/>
      <c r="Z61" s="42"/>
      <c r="AA61" s="42"/>
      <c r="AB61" s="42"/>
    </row>
    <row r="62" spans="1:28" ht="12.75">
      <c r="A62" s="1"/>
      <c r="B62" s="1" t="s">
        <v>88</v>
      </c>
      <c r="C62" s="33">
        <f aca="true" t="shared" si="16" ref="C62:V62">C111/C90</f>
        <v>1.2498639973887498</v>
      </c>
      <c r="D62" s="33">
        <f t="shared" si="16"/>
        <v>1.1256969440327476</v>
      </c>
      <c r="E62" s="33">
        <f t="shared" si="16"/>
        <v>2.6961521833117166</v>
      </c>
      <c r="F62" s="33">
        <f t="shared" si="16"/>
        <v>1.1306101865859808</v>
      </c>
      <c r="G62" s="33">
        <f t="shared" si="16"/>
        <v>1.1157102836098083</v>
      </c>
      <c r="H62" s="33">
        <f t="shared" si="16"/>
        <v>0.9191985909291062</v>
      </c>
      <c r="I62" s="33">
        <f t="shared" si="16"/>
        <v>1.0779131392387638</v>
      </c>
      <c r="J62" s="33">
        <f t="shared" si="16"/>
        <v>1.2960429383287728</v>
      </c>
      <c r="K62" s="33">
        <f t="shared" si="16"/>
        <v>1.382248389246834</v>
      </c>
      <c r="L62" s="33">
        <f t="shared" si="16"/>
        <v>1.3447741364038972</v>
      </c>
      <c r="M62" s="33">
        <f t="shared" si="16"/>
        <v>1.2371760973030144</v>
      </c>
      <c r="N62" s="33">
        <f t="shared" si="16"/>
        <v>1.2868176047397377</v>
      </c>
      <c r="O62" s="33">
        <f t="shared" si="16"/>
        <v>1.288853826214358</v>
      </c>
      <c r="P62" s="33">
        <f t="shared" si="16"/>
        <v>1.3313302098187003</v>
      </c>
      <c r="Q62" s="33">
        <f t="shared" si="16"/>
        <v>1.170437241679356</v>
      </c>
      <c r="R62" s="33">
        <f t="shared" si="16"/>
        <v>1.0506161971830985</v>
      </c>
      <c r="S62" s="33">
        <f t="shared" si="16"/>
        <v>0.9426465075596652</v>
      </c>
      <c r="T62" s="33">
        <f t="shared" si="16"/>
        <v>0.8646771771771772</v>
      </c>
      <c r="U62" s="33">
        <f t="shared" si="16"/>
        <v>0.7838795394154119</v>
      </c>
      <c r="V62" s="50">
        <f t="shared" si="16"/>
        <v>0.7562989625238196</v>
      </c>
      <c r="W62" s="46"/>
      <c r="X62" s="42"/>
      <c r="Y62" s="42"/>
      <c r="Z62" s="42"/>
      <c r="AA62" s="42"/>
      <c r="AB62" s="42"/>
    </row>
    <row r="63" spans="1:28" ht="12.75">
      <c r="A63" s="1"/>
      <c r="B63" s="1" t="s">
        <v>99</v>
      </c>
      <c r="C63" s="52">
        <f>(C108+C107)/C90</f>
        <v>1.0326043593370327</v>
      </c>
      <c r="D63" s="52">
        <f aca="true" t="shared" si="17" ref="D63:V63">(D108+D107)/D90</f>
        <v>0.9287352671324723</v>
      </c>
      <c r="E63" s="52">
        <f t="shared" si="17"/>
        <v>2.1250324254215305</v>
      </c>
      <c r="F63" s="52">
        <f t="shared" si="17"/>
        <v>0.763142965204236</v>
      </c>
      <c r="G63" s="52">
        <f t="shared" si="17"/>
        <v>0.7732065850357267</v>
      </c>
      <c r="H63" s="52">
        <f t="shared" si="17"/>
        <v>0.7094341699691765</v>
      </c>
      <c r="I63" s="52">
        <f t="shared" si="17"/>
        <v>0.9017138137518067</v>
      </c>
      <c r="J63" s="52">
        <f t="shared" si="17"/>
        <v>0.8442433171963797</v>
      </c>
      <c r="K63" s="52">
        <f t="shared" si="17"/>
        <v>1.0077760497667185</v>
      </c>
      <c r="L63" s="52">
        <f t="shared" si="17"/>
        <v>0.883303808680248</v>
      </c>
      <c r="M63" s="52">
        <f t="shared" si="17"/>
        <v>0.8654151242728715</v>
      </c>
      <c r="N63" s="52">
        <f t="shared" si="17"/>
        <v>0.9725983918747355</v>
      </c>
      <c r="O63" s="52">
        <f t="shared" si="17"/>
        <v>0.8476276343964837</v>
      </c>
      <c r="P63" s="52">
        <f t="shared" si="17"/>
        <v>0.9077205133428397</v>
      </c>
      <c r="Q63" s="52">
        <f t="shared" si="17"/>
        <v>0.8854687839895584</v>
      </c>
      <c r="R63" s="52">
        <f t="shared" si="17"/>
        <v>0.7961047535211268</v>
      </c>
      <c r="S63" s="52">
        <f t="shared" si="17"/>
        <v>0.6914906909908785</v>
      </c>
      <c r="T63" s="52">
        <f t="shared" si="17"/>
        <v>0.6304429429429429</v>
      </c>
      <c r="U63" s="52">
        <f t="shared" si="17"/>
        <v>0.45704162976085033</v>
      </c>
      <c r="V63" s="52">
        <f t="shared" si="17"/>
        <v>0.3974168960406521</v>
      </c>
      <c r="W63" s="42"/>
      <c r="X63" s="42"/>
      <c r="Y63" s="42"/>
      <c r="Z63" s="42"/>
      <c r="AA63" s="42"/>
      <c r="AB63" s="42"/>
    </row>
    <row r="64" spans="1:28" ht="12.75">
      <c r="A64" s="1"/>
      <c r="B64" s="1" t="s">
        <v>100</v>
      </c>
      <c r="C64" s="53">
        <f>C47/C53*100</f>
        <v>294.10828025477707</v>
      </c>
      <c r="D64" s="53">
        <f aca="true" t="shared" si="18" ref="D64:O64">D47/D53*100</f>
        <v>292.99363057324837</v>
      </c>
      <c r="E64" s="53">
        <f t="shared" si="18"/>
        <v>214.64968152866243</v>
      </c>
      <c r="F64" s="53">
        <f t="shared" si="18"/>
        <v>74.36305732484077</v>
      </c>
      <c r="G64" s="53">
        <f t="shared" si="18"/>
        <v>26.11464968152866</v>
      </c>
      <c r="H64" s="53">
        <f t="shared" si="18"/>
        <v>132.1656050955414</v>
      </c>
      <c r="I64" s="53">
        <f t="shared" si="18"/>
        <v>60.98726114649682</v>
      </c>
      <c r="J64" s="53">
        <f t="shared" si="18"/>
        <v>32.1656050955414</v>
      </c>
      <c r="K64" s="53">
        <f t="shared" si="18"/>
        <v>4.777070063694268</v>
      </c>
      <c r="L64" s="53">
        <f t="shared" si="18"/>
        <v>40.445859872611464</v>
      </c>
      <c r="M64" s="53">
        <f t="shared" si="18"/>
        <v>65.76433121019109</v>
      </c>
      <c r="N64" s="53">
        <f t="shared" si="18"/>
        <v>54.77707006369427</v>
      </c>
      <c r="O64" s="53">
        <f t="shared" si="18"/>
        <v>13.05732484076433</v>
      </c>
      <c r="P64" s="53">
        <f>P47/603*100</f>
        <v>58.043117744610285</v>
      </c>
      <c r="Q64" s="53">
        <f>Q47/Q53*100</f>
        <v>357.2664359861592</v>
      </c>
      <c r="R64" s="54">
        <f>R47/553*100</f>
        <v>69.25858951175407</v>
      </c>
      <c r="S64" s="53">
        <f>S47/S53*100</f>
        <v>76.32575757575758</v>
      </c>
      <c r="T64" s="54">
        <f>T47/478*100</f>
        <v>69.4560669456067</v>
      </c>
      <c r="U64" s="53">
        <f>U47/U53*100</f>
        <v>94.1588785046729</v>
      </c>
      <c r="V64" s="53">
        <f>V47/V53*100</f>
        <v>97.19626168224299</v>
      </c>
      <c r="W64" s="42"/>
      <c r="X64" s="42"/>
      <c r="Y64" s="42"/>
      <c r="Z64" s="42"/>
      <c r="AA64" s="42"/>
      <c r="AB64" s="42"/>
    </row>
    <row r="65" spans="1:28" ht="12.75">
      <c r="A65" s="1"/>
      <c r="B65" s="1" t="s">
        <v>101</v>
      </c>
      <c r="C65" s="52">
        <f>C47/C116*100</f>
        <v>2.3855035776095885</v>
      </c>
      <c r="D65" s="52">
        <f aca="true" t="shared" si="19" ref="D65:V65">D47/D116*100</f>
        <v>2.465810333621458</v>
      </c>
      <c r="E65" s="52">
        <f t="shared" si="19"/>
        <v>2.344082842809074</v>
      </c>
      <c r="F65" s="52">
        <f t="shared" si="19"/>
        <v>1.1884766122054258</v>
      </c>
      <c r="G65" s="52">
        <f t="shared" si="19"/>
        <v>0.4026713808681988</v>
      </c>
      <c r="H65" s="52">
        <f t="shared" si="19"/>
        <v>2.157553386449005</v>
      </c>
      <c r="I65" s="52">
        <f t="shared" si="19"/>
        <v>1.565437750347421</v>
      </c>
      <c r="J65" s="52">
        <f t="shared" si="19"/>
        <v>1.4006379142976009</v>
      </c>
      <c r="K65" s="52">
        <f t="shared" si="19"/>
        <v>0.2124645892351275</v>
      </c>
      <c r="L65" s="52">
        <f t="shared" si="19"/>
        <v>1.7099195529974083</v>
      </c>
      <c r="M65" s="52">
        <f t="shared" si="19"/>
        <v>2.7998101823605177</v>
      </c>
      <c r="N65" s="52">
        <f t="shared" si="19"/>
        <v>2.6093222588842115</v>
      </c>
      <c r="O65" s="52">
        <f t="shared" si="19"/>
        <v>0.6086472443867137</v>
      </c>
      <c r="P65" s="52">
        <f t="shared" si="19"/>
        <v>2.5989455706541915</v>
      </c>
      <c r="Q65" s="52">
        <f t="shared" si="19"/>
        <v>16.609024370626557</v>
      </c>
      <c r="R65" s="52">
        <f t="shared" si="19"/>
        <v>3.3498053964227927</v>
      </c>
      <c r="S65" s="52">
        <f t="shared" si="19"/>
        <v>4.369984818911298</v>
      </c>
      <c r="T65" s="52">
        <f t="shared" si="19"/>
        <v>4.659976138676399</v>
      </c>
      <c r="U65" s="52">
        <f t="shared" si="19"/>
        <v>6.22971092904622</v>
      </c>
      <c r="V65" s="52">
        <f t="shared" si="19"/>
        <v>6.481770021813649</v>
      </c>
      <c r="W65" s="42"/>
      <c r="X65" s="42"/>
      <c r="Y65" s="42"/>
      <c r="Z65" s="42"/>
      <c r="AA65" s="42"/>
      <c r="AB65" s="42"/>
    </row>
    <row r="66" spans="1:28" ht="12.75">
      <c r="A66" s="1"/>
      <c r="B66" s="1" t="s">
        <v>102</v>
      </c>
      <c r="C66" s="52">
        <f>(C15+C17+C16)/C9*100</f>
        <v>8.554098738849584</v>
      </c>
      <c r="D66" s="52">
        <f aca="true" t="shared" si="20" ref="D66:V66">(D15+D17+D16)/D9*100</f>
        <v>7.8321138124155105</v>
      </c>
      <c r="E66" s="52">
        <f t="shared" si="20"/>
        <v>7.49704421849137</v>
      </c>
      <c r="F66" s="52">
        <f t="shared" si="20"/>
        <v>7.331556806038389</v>
      </c>
      <c r="G66" s="52">
        <f t="shared" si="20"/>
        <v>9.50374531835206</v>
      </c>
      <c r="H66" s="52">
        <f t="shared" si="20"/>
        <v>8.077552961065033</v>
      </c>
      <c r="I66" s="52">
        <f t="shared" si="20"/>
        <v>6.63563829787234</v>
      </c>
      <c r="J66" s="52">
        <f t="shared" si="20"/>
        <v>6.471965398198484</v>
      </c>
      <c r="K66" s="52">
        <f t="shared" si="20"/>
        <v>5.776145068000625</v>
      </c>
      <c r="L66" s="52">
        <f t="shared" si="20"/>
        <v>5.189987112898817</v>
      </c>
      <c r="M66" s="52">
        <f t="shared" si="20"/>
        <v>4.751830419181548</v>
      </c>
      <c r="N66" s="52">
        <f t="shared" si="20"/>
        <v>5.743805954611701</v>
      </c>
      <c r="O66" s="52">
        <f t="shared" si="20"/>
        <v>5.8542728284425705</v>
      </c>
      <c r="P66" s="52">
        <f t="shared" si="20"/>
        <v>5.555227406969876</v>
      </c>
      <c r="Q66" s="52">
        <f t="shared" si="20"/>
        <v>5.168891915095177</v>
      </c>
      <c r="R66" s="52">
        <f t="shared" si="20"/>
        <v>4.433439798400094</v>
      </c>
      <c r="S66" s="52">
        <f t="shared" si="20"/>
        <v>4.464823142017491</v>
      </c>
      <c r="T66" s="52">
        <f t="shared" si="20"/>
        <v>4.749274346912221</v>
      </c>
      <c r="U66" s="52">
        <f t="shared" si="20"/>
        <v>4.143935636744366</v>
      </c>
      <c r="V66" s="52">
        <f t="shared" si="20"/>
        <v>3.409279893563945</v>
      </c>
      <c r="W66" s="42"/>
      <c r="X66" s="42"/>
      <c r="Y66" s="42"/>
      <c r="Z66" s="42"/>
      <c r="AA66" s="42"/>
      <c r="AB66" s="42"/>
    </row>
    <row r="67" spans="1:28" ht="12.75">
      <c r="A67" s="1"/>
      <c r="B67" s="1" t="s">
        <v>103</v>
      </c>
      <c r="C67" s="52">
        <f>(C13+C14)/C117</f>
        <v>25.2587228439763</v>
      </c>
      <c r="D67" s="52">
        <f>(D13+D14)/D117</f>
        <v>32.29223913850724</v>
      </c>
      <c r="E67" s="52">
        <f>(E13+E14)/E117</f>
        <v>29.625046313449424</v>
      </c>
      <c r="F67" s="52">
        <f>(F13+F14)/F117</f>
        <v>22.677640156453716</v>
      </c>
      <c r="G67" s="52">
        <f>(G13+G14)/G117</f>
        <v>24.66150627615063</v>
      </c>
      <c r="H67" s="52">
        <f>(H13+H14)/H117</f>
        <v>28.426238145416228</v>
      </c>
      <c r="I67" s="52">
        <f>(I13+I14)/I117</f>
        <v>27.28222600795003</v>
      </c>
      <c r="J67" s="52">
        <f>(J13+J14)/J117</f>
        <v>31.422024623803008</v>
      </c>
      <c r="K67" s="52">
        <f>(K13+K14)/K117</f>
        <v>32.299586776859506</v>
      </c>
      <c r="L67" s="52">
        <f>(L13+L14)/L117</f>
        <v>30.12930474333983</v>
      </c>
      <c r="M67" s="52">
        <f>(M13+M14)/M117</f>
        <v>32.54565784569512</v>
      </c>
      <c r="N67" s="52">
        <f>(N13+N14)/N117</f>
        <v>31.82026593305823</v>
      </c>
      <c r="O67" s="52">
        <f>(O13+O14)/O117</f>
        <v>36.47142015321155</v>
      </c>
      <c r="P67" s="52">
        <f>(P13+P14)/P117</f>
        <v>50.32622950819672</v>
      </c>
      <c r="Q67" s="52">
        <f>(Q13+Q14)/Q117</f>
        <v>60.19234543670265</v>
      </c>
      <c r="R67" s="52">
        <f>(R13+R14)/R117</f>
        <v>63.33061224489796</v>
      </c>
      <c r="S67" s="52">
        <f>(S13+S14)/S117</f>
        <v>63.25679012345679</v>
      </c>
      <c r="T67" s="52">
        <f>(T13+T14)/T117</f>
        <v>45.623588456712675</v>
      </c>
      <c r="U67" s="52">
        <f>(U13+U14)/U117</f>
        <v>38.768539325842696</v>
      </c>
      <c r="V67" s="65">
        <f>(V13+V14)/V106</f>
        <v>34.7855579868709</v>
      </c>
      <c r="W67" s="42"/>
      <c r="X67" s="42"/>
      <c r="Y67" s="42"/>
      <c r="Z67" s="42"/>
      <c r="AA67" s="42"/>
      <c r="AB67" s="42"/>
    </row>
    <row r="68" spans="1:28" ht="12.75">
      <c r="A68" s="1"/>
      <c r="B68" s="1" t="s">
        <v>104</v>
      </c>
      <c r="C68" s="53">
        <f>C87/(C13+C14)*365</f>
        <v>38.581474145120936</v>
      </c>
      <c r="D68" s="53">
        <f>D87/(D13+D14)*365</f>
        <v>27.89030967192944</v>
      </c>
      <c r="E68" s="53">
        <f>E87/(E13+E14)*365</f>
        <v>28.25214487605993</v>
      </c>
      <c r="F68" s="53">
        <f>F87/(F13+F14)*365</f>
        <v>47.05785123966942</v>
      </c>
      <c r="G68" s="53">
        <f>G87/(G13+G14)*365</f>
        <v>32.1955005853311</v>
      </c>
      <c r="H68" s="53">
        <f>H87/(H13+H14)*365</f>
        <v>31.302337219431728</v>
      </c>
      <c r="I68" s="53">
        <f>I87/(I13+I14)*365</f>
        <v>30.191282990591958</v>
      </c>
      <c r="J68" s="53">
        <f>J87/(J13+J14)*365</f>
        <v>26.489692853566684</v>
      </c>
      <c r="K68" s="53">
        <f>K87/(K13+K14)*365</f>
        <v>16.70941811126037</v>
      </c>
      <c r="L68" s="53">
        <f>L87/(L13+L14)*365</f>
        <v>23.10325864262762</v>
      </c>
      <c r="M68" s="53">
        <f>M87/(M13+M14)*365</f>
        <v>24.010077874484654</v>
      </c>
      <c r="N68" s="53">
        <f>N87/(N13+N14)*365</f>
        <v>0</v>
      </c>
      <c r="O68" s="53">
        <f>O87/(O13+O14)*365</f>
        <v>21.124377948684806</v>
      </c>
      <c r="P68" s="53">
        <f>P87/(P13+P14)*365</f>
        <v>22.768656959510082</v>
      </c>
      <c r="Q68" s="53">
        <f>Q87/(Q13+Q14)*365</f>
        <v>15.127005347593583</v>
      </c>
      <c r="R68" s="53">
        <f>R87/(R13+R14)*365</f>
        <v>13.808649136375356</v>
      </c>
      <c r="S68" s="53">
        <f>S87/(S13+S14)*365</f>
        <v>20.18833678129513</v>
      </c>
      <c r="T68" s="53">
        <f>T87/(T13+T14)*365</f>
        <v>16.64292393157692</v>
      </c>
      <c r="U68" s="53">
        <f>U87/(U13+U14)*365</f>
        <v>16.81978900996986</v>
      </c>
      <c r="V68" s="53">
        <f>V87/(V13+V14)*365</f>
        <v>15.268604139145753</v>
      </c>
      <c r="W68" s="42"/>
      <c r="X68" s="42"/>
      <c r="Y68" s="42"/>
      <c r="Z68" s="42"/>
      <c r="AA68" s="42"/>
      <c r="AB68" s="42"/>
    </row>
    <row r="69" spans="1:28" ht="12.75">
      <c r="A69" s="1"/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V69" s="48"/>
      <c r="W69" s="42"/>
      <c r="X69" s="42"/>
      <c r="Y69" s="42"/>
      <c r="Z69" s="42"/>
      <c r="AA69" s="42"/>
      <c r="AB69" s="42"/>
    </row>
    <row r="70" spans="1:28" ht="12.75">
      <c r="A70" s="1"/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V70" s="48"/>
      <c r="W70" s="42"/>
      <c r="X70" s="42"/>
      <c r="Y70" s="42"/>
      <c r="Z70" s="42"/>
      <c r="AA70" s="42"/>
      <c r="AB70" s="42"/>
    </row>
    <row r="71" spans="1:28" ht="12.75">
      <c r="A71" s="1"/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V71" s="48"/>
      <c r="W71" s="42"/>
      <c r="X71" s="42"/>
      <c r="Y71" s="42"/>
      <c r="Z71" s="42"/>
      <c r="AA71" s="42"/>
      <c r="AB71" s="42"/>
    </row>
    <row r="72" spans="1:28" ht="12.75">
      <c r="A72" s="1"/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V72" s="48"/>
      <c r="W72" s="42"/>
      <c r="X72" s="42"/>
      <c r="Y72" s="42"/>
      <c r="Z72" s="42"/>
      <c r="AA72" s="42"/>
      <c r="AB72" s="42"/>
    </row>
    <row r="73" spans="3:28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V73" s="48"/>
      <c r="W73" s="42"/>
      <c r="X73" s="42"/>
      <c r="Y73" s="42"/>
      <c r="Z73" s="42"/>
      <c r="AA73" s="42"/>
      <c r="AB73" s="42"/>
    </row>
    <row r="74" spans="2:28" ht="12.75">
      <c r="B74" s="4" t="s">
        <v>28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V74" s="48"/>
      <c r="W74" s="42"/>
      <c r="X74" s="42"/>
      <c r="Y74" s="42"/>
      <c r="Z74" s="42"/>
      <c r="AA74" s="42"/>
      <c r="AB74" s="42"/>
    </row>
    <row r="75" spans="2:28" ht="12.75">
      <c r="B75" s="2" t="s">
        <v>29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V75" s="48"/>
      <c r="W75" s="42"/>
      <c r="X75" s="42"/>
      <c r="Y75" s="42"/>
      <c r="Z75" s="42"/>
      <c r="AA75" s="42"/>
      <c r="AB75" s="42"/>
    </row>
    <row r="76" spans="2:28" ht="12.75">
      <c r="B76" s="3" t="s">
        <v>82</v>
      </c>
      <c r="C76" s="13">
        <v>628</v>
      </c>
      <c r="D76" s="13">
        <v>628</v>
      </c>
      <c r="E76" s="13">
        <v>628</v>
      </c>
      <c r="F76" s="13">
        <v>628</v>
      </c>
      <c r="G76" s="13">
        <v>628</v>
      </c>
      <c r="H76" s="13">
        <v>628</v>
      </c>
      <c r="I76" s="13">
        <v>628</v>
      </c>
      <c r="J76" s="13">
        <v>628</v>
      </c>
      <c r="K76" s="13">
        <v>628</v>
      </c>
      <c r="L76" s="13">
        <v>628</v>
      </c>
      <c r="M76" s="13">
        <v>628</v>
      </c>
      <c r="N76" s="13">
        <v>628</v>
      </c>
      <c r="O76" s="13">
        <v>628</v>
      </c>
      <c r="P76" s="13">
        <v>628</v>
      </c>
      <c r="Q76" s="13">
        <f>578+50</f>
        <v>628</v>
      </c>
      <c r="R76" s="28">
        <v>578</v>
      </c>
      <c r="S76" s="28">
        <v>528</v>
      </c>
      <c r="T76" s="28">
        <v>528</v>
      </c>
      <c r="U76" s="39">
        <v>428</v>
      </c>
      <c r="V76" s="28">
        <v>428</v>
      </c>
      <c r="W76" s="42"/>
      <c r="X76" s="42"/>
      <c r="Y76" s="42"/>
      <c r="Z76" s="42"/>
      <c r="AA76" s="42"/>
      <c r="AB76" s="42"/>
    </row>
    <row r="77" spans="2:28" ht="12.75">
      <c r="B77" s="3" t="s">
        <v>30</v>
      </c>
      <c r="C77" s="13">
        <v>12236</v>
      </c>
      <c r="D77" s="13">
        <v>10267</v>
      </c>
      <c r="E77" s="13">
        <v>8513</v>
      </c>
      <c r="F77" s="13">
        <v>6814</v>
      </c>
      <c r="G77" s="13">
        <v>6422</v>
      </c>
      <c r="H77" s="13">
        <v>5390</v>
      </c>
      <c r="I77" s="13">
        <v>4634</v>
      </c>
      <c r="J77" s="13">
        <v>4323</v>
      </c>
      <c r="K77" s="13">
        <v>4158</v>
      </c>
      <c r="L77" s="13">
        <v>4164</v>
      </c>
      <c r="M77" s="13">
        <v>3887</v>
      </c>
      <c r="N77" s="13">
        <v>3562</v>
      </c>
      <c r="O77" s="13">
        <v>3224</v>
      </c>
      <c r="P77" s="13">
        <v>3174</v>
      </c>
      <c r="Q77" s="13">
        <v>2892</v>
      </c>
      <c r="R77" s="28">
        <v>2486</v>
      </c>
      <c r="S77" s="28">
        <v>2184</v>
      </c>
      <c r="T77" s="28">
        <v>1839</v>
      </c>
      <c r="U77" s="39">
        <v>1566</v>
      </c>
      <c r="V77" s="28">
        <v>1210</v>
      </c>
      <c r="W77" s="42"/>
      <c r="X77" s="42"/>
      <c r="Y77" s="42"/>
      <c r="Z77" s="42"/>
      <c r="AA77" s="42"/>
      <c r="AB77" s="42"/>
    </row>
    <row r="78" spans="2:28" ht="12.75">
      <c r="B78" s="2" t="s">
        <v>54</v>
      </c>
      <c r="C78" s="12">
        <f aca="true" t="shared" si="21" ref="C78:J78">SUM(C76:C77)</f>
        <v>12864</v>
      </c>
      <c r="D78" s="12">
        <f t="shared" si="21"/>
        <v>10895</v>
      </c>
      <c r="E78" s="12">
        <f t="shared" si="21"/>
        <v>9141</v>
      </c>
      <c r="F78" s="12">
        <f t="shared" si="21"/>
        <v>7442</v>
      </c>
      <c r="G78" s="12">
        <f t="shared" si="21"/>
        <v>7050</v>
      </c>
      <c r="H78" s="12">
        <f t="shared" si="21"/>
        <v>6018</v>
      </c>
      <c r="I78" s="12">
        <f t="shared" si="21"/>
        <v>5262</v>
      </c>
      <c r="J78" s="12">
        <f t="shared" si="21"/>
        <v>4951</v>
      </c>
      <c r="K78" s="12">
        <f aca="true" t="shared" si="22" ref="K78:S78">SUM(K76:K77)</f>
        <v>4786</v>
      </c>
      <c r="L78" s="12">
        <f t="shared" si="22"/>
        <v>4792</v>
      </c>
      <c r="M78" s="12">
        <f t="shared" si="22"/>
        <v>4515</v>
      </c>
      <c r="N78" s="12">
        <f t="shared" si="22"/>
        <v>4190</v>
      </c>
      <c r="O78" s="12">
        <f t="shared" si="22"/>
        <v>3852</v>
      </c>
      <c r="P78" s="12">
        <f t="shared" si="22"/>
        <v>3802</v>
      </c>
      <c r="Q78" s="12">
        <f t="shared" si="22"/>
        <v>3520</v>
      </c>
      <c r="R78" s="30">
        <f t="shared" si="22"/>
        <v>3064</v>
      </c>
      <c r="S78" s="30">
        <f t="shared" si="22"/>
        <v>2712</v>
      </c>
      <c r="T78" s="30">
        <f>SUM(T76:T77)</f>
        <v>2367</v>
      </c>
      <c r="U78" s="41">
        <f>SUM(U76:U77)</f>
        <v>1994</v>
      </c>
      <c r="V78" s="30">
        <f>SUM(V76:V77)</f>
        <v>1638</v>
      </c>
      <c r="W78" s="6"/>
      <c r="X78" s="6"/>
      <c r="Y78" s="6"/>
      <c r="Z78" s="6"/>
      <c r="AA78" s="6"/>
      <c r="AB78" s="42"/>
    </row>
    <row r="79" spans="2:28" ht="12.75">
      <c r="B79" s="2" t="s">
        <v>31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5"/>
      <c r="S79" s="5"/>
      <c r="T79" s="5"/>
      <c r="U79" s="19"/>
      <c r="V79" s="5"/>
      <c r="W79" s="42"/>
      <c r="X79" s="42"/>
      <c r="Y79" s="42"/>
      <c r="Z79" s="42"/>
      <c r="AA79" s="42"/>
      <c r="AB79" s="42"/>
    </row>
    <row r="80" spans="2:28" ht="12.75">
      <c r="B80" s="3" t="s">
        <v>32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500</v>
      </c>
      <c r="L80" s="13">
        <v>0</v>
      </c>
      <c r="M80" s="13">
        <v>0</v>
      </c>
      <c r="N80" s="13">
        <v>0</v>
      </c>
      <c r="O80" s="13">
        <v>0</v>
      </c>
      <c r="P80" s="13">
        <v>600</v>
      </c>
      <c r="Q80" s="13">
        <v>0</v>
      </c>
      <c r="R80" s="5"/>
      <c r="S80" s="5"/>
      <c r="T80" s="28">
        <v>33</v>
      </c>
      <c r="U80" s="39">
        <v>10</v>
      </c>
      <c r="V80" s="28">
        <v>57</v>
      </c>
      <c r="W80" s="42"/>
      <c r="X80" s="42"/>
      <c r="Y80" s="42"/>
      <c r="Z80" s="42"/>
      <c r="AA80" s="42"/>
      <c r="AB80" s="42"/>
    </row>
    <row r="81" spans="2:28" ht="12.75">
      <c r="B81" s="3" t="s">
        <v>33</v>
      </c>
      <c r="C81" s="13">
        <v>464</v>
      </c>
      <c r="D81" s="13">
        <v>448</v>
      </c>
      <c r="E81" s="13">
        <v>428</v>
      </c>
      <c r="F81" s="13">
        <v>422</v>
      </c>
      <c r="G81" s="13">
        <v>177</v>
      </c>
      <c r="H81" s="13">
        <v>106</v>
      </c>
      <c r="I81" s="13">
        <v>158</v>
      </c>
      <c r="J81" s="13">
        <v>0</v>
      </c>
      <c r="K81" s="13">
        <v>102</v>
      </c>
      <c r="L81" s="13">
        <v>25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5"/>
      <c r="S81" s="5"/>
      <c r="T81" s="5"/>
      <c r="U81" s="19"/>
      <c r="V81" s="5"/>
      <c r="W81" s="42"/>
      <c r="X81" s="42"/>
      <c r="Y81" s="42"/>
      <c r="Z81" s="42"/>
      <c r="AA81" s="42"/>
      <c r="AB81" s="42"/>
    </row>
    <row r="82" spans="2:28" ht="12.75">
      <c r="B82" s="3" t="s">
        <v>36</v>
      </c>
      <c r="C82" s="13">
        <v>10639</v>
      </c>
      <c r="D82" s="13">
        <v>3675</v>
      </c>
      <c r="E82" s="13">
        <v>51891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/>
      <c r="O82" s="13"/>
      <c r="P82" s="13"/>
      <c r="Q82" s="13"/>
      <c r="R82" s="5"/>
      <c r="S82" s="5"/>
      <c r="T82" s="5"/>
      <c r="U82" s="19"/>
      <c r="V82" s="5"/>
      <c r="W82" s="42"/>
      <c r="X82" s="42"/>
      <c r="Y82" s="42"/>
      <c r="Z82" s="42"/>
      <c r="AA82" s="42"/>
      <c r="AB82" s="42"/>
    </row>
    <row r="83" spans="2:28" ht="12.75">
      <c r="B83" s="3" t="s">
        <v>34</v>
      </c>
      <c r="C83" s="13">
        <v>1919</v>
      </c>
      <c r="D83" s="13">
        <v>2126</v>
      </c>
      <c r="E83" s="13">
        <v>2396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/>
      <c r="O83" s="13"/>
      <c r="P83" s="13"/>
      <c r="Q83" s="13"/>
      <c r="R83" s="5"/>
      <c r="S83" s="5"/>
      <c r="T83" s="5"/>
      <c r="U83" s="19"/>
      <c r="V83" s="5"/>
      <c r="W83" s="42"/>
      <c r="X83" s="42"/>
      <c r="Y83" s="42"/>
      <c r="Z83" s="42"/>
      <c r="AA83" s="42"/>
      <c r="AB83" s="42"/>
    </row>
    <row r="84" spans="2:28" ht="12.75">
      <c r="B84" s="2" t="s">
        <v>55</v>
      </c>
      <c r="C84" s="12">
        <f aca="true" t="shared" si="23" ref="C84:J84">SUM(C80:C83)</f>
        <v>13022</v>
      </c>
      <c r="D84" s="12">
        <f>SUM(D80:D83)</f>
        <v>6249</v>
      </c>
      <c r="E84" s="12">
        <f t="shared" si="23"/>
        <v>54715</v>
      </c>
      <c r="F84" s="12">
        <f t="shared" si="23"/>
        <v>422</v>
      </c>
      <c r="G84" s="12">
        <f t="shared" si="23"/>
        <v>177</v>
      </c>
      <c r="H84" s="12">
        <f t="shared" si="23"/>
        <v>106</v>
      </c>
      <c r="I84" s="12">
        <f t="shared" si="23"/>
        <v>158</v>
      </c>
      <c r="J84" s="12">
        <f t="shared" si="23"/>
        <v>0</v>
      </c>
      <c r="K84" s="12">
        <f aca="true" t="shared" si="24" ref="K84:R84">SUM(K80:K83)</f>
        <v>602</v>
      </c>
      <c r="L84" s="12">
        <f t="shared" si="24"/>
        <v>25</v>
      </c>
      <c r="M84" s="12">
        <f t="shared" si="24"/>
        <v>0</v>
      </c>
      <c r="N84" s="12">
        <f t="shared" si="24"/>
        <v>0</v>
      </c>
      <c r="O84" s="12">
        <f t="shared" si="24"/>
        <v>0</v>
      </c>
      <c r="P84" s="12">
        <f t="shared" si="24"/>
        <v>600</v>
      </c>
      <c r="Q84" s="12">
        <f t="shared" si="24"/>
        <v>0</v>
      </c>
      <c r="R84" s="30">
        <f t="shared" si="24"/>
        <v>0</v>
      </c>
      <c r="S84" s="30">
        <f>SUM(S80:S83)</f>
        <v>0</v>
      </c>
      <c r="T84" s="30">
        <f>SUM(T80:T83)</f>
        <v>33</v>
      </c>
      <c r="U84" s="41">
        <f>SUM(U80:U83)</f>
        <v>10</v>
      </c>
      <c r="V84" s="30">
        <f>SUM(V80:V83)</f>
        <v>57</v>
      </c>
      <c r="W84" s="6"/>
      <c r="X84" s="6"/>
      <c r="Y84" s="6"/>
      <c r="Z84" s="6"/>
      <c r="AA84" s="6"/>
      <c r="AB84" s="42"/>
    </row>
    <row r="85" spans="2:28" ht="12.75">
      <c r="B85" s="2" t="s">
        <v>35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5"/>
      <c r="S85" s="5"/>
      <c r="T85" s="5"/>
      <c r="U85" s="19"/>
      <c r="V85" s="5"/>
      <c r="W85" s="42"/>
      <c r="X85" s="42"/>
      <c r="Y85" s="42"/>
      <c r="Z85" s="42"/>
      <c r="AA85" s="42"/>
      <c r="AB85" s="42"/>
    </row>
    <row r="86" spans="2:28" ht="12.75">
      <c r="B86" s="3" t="s">
        <v>37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5"/>
      <c r="S86" s="5"/>
      <c r="T86" s="5"/>
      <c r="U86" s="19"/>
      <c r="V86" s="5"/>
      <c r="W86" s="42"/>
      <c r="X86" s="42"/>
      <c r="Y86" s="42"/>
      <c r="Z86" s="42"/>
      <c r="AA86" s="42"/>
      <c r="AB86" s="42"/>
    </row>
    <row r="87" spans="2:28" ht="12.75">
      <c r="B87" s="3" t="s">
        <v>38</v>
      </c>
      <c r="C87" s="13">
        <v>10139</v>
      </c>
      <c r="D87" s="13">
        <v>6645</v>
      </c>
      <c r="E87" s="13">
        <v>6189</v>
      </c>
      <c r="F87" s="13">
        <f>68+5531+3371</f>
        <v>8970</v>
      </c>
      <c r="G87" s="13">
        <f>3747+432+377+643</f>
        <v>5199</v>
      </c>
      <c r="H87" s="13">
        <f>144+3789+406+288</f>
        <v>4627</v>
      </c>
      <c r="I87" s="13">
        <f>23+3349+390+212</f>
        <v>3974</v>
      </c>
      <c r="J87" s="13">
        <f>2559+313+462</f>
        <v>3334</v>
      </c>
      <c r="K87" s="13">
        <f>1482+387+278</f>
        <v>2147</v>
      </c>
      <c r="L87" s="13">
        <f>1+2446+280+208</f>
        <v>2935</v>
      </c>
      <c r="M87" s="13">
        <f>2+2057+413+400</f>
        <v>2872</v>
      </c>
      <c r="N87" s="13">
        <v>0</v>
      </c>
      <c r="O87" s="13">
        <f>4+1076+365+346</f>
        <v>1791</v>
      </c>
      <c r="P87" s="13">
        <f>16+1307+321+271</f>
        <v>1915</v>
      </c>
      <c r="Q87" s="13">
        <f>13+727+257+274</f>
        <v>1271</v>
      </c>
      <c r="R87" s="5">
        <f>1+824+264+85</f>
        <v>1174</v>
      </c>
      <c r="S87" s="5">
        <f>6+791+350+270</f>
        <v>1417</v>
      </c>
      <c r="T87" s="5">
        <f>2+495+225+107</f>
        <v>829</v>
      </c>
      <c r="U87" s="19">
        <f>506+147+142</f>
        <v>795</v>
      </c>
      <c r="V87" s="5">
        <f>3+368+255+39</f>
        <v>665</v>
      </c>
      <c r="W87" s="42"/>
      <c r="X87" s="42"/>
      <c r="Y87" s="42"/>
      <c r="Z87" s="42"/>
      <c r="AA87" s="42"/>
      <c r="AB87" s="42"/>
    </row>
    <row r="88" spans="2:28" ht="12.75">
      <c r="B88" s="3" t="s">
        <v>73</v>
      </c>
      <c r="C88" s="13">
        <f>44675+261</f>
        <v>44936</v>
      </c>
      <c r="D88" s="13">
        <f>49756+275</f>
        <v>50031</v>
      </c>
      <c r="E88" s="13">
        <f>4763+305</f>
        <v>5068</v>
      </c>
      <c r="F88" s="13">
        <f>28748+211-F87</f>
        <v>19989</v>
      </c>
      <c r="G88" s="13">
        <f>28327+238-G87</f>
        <v>23366</v>
      </c>
      <c r="H88" s="13">
        <f>33797-H87</f>
        <v>29170</v>
      </c>
      <c r="I88" s="13">
        <f>27582-I87</f>
        <v>23608</v>
      </c>
      <c r="J88" s="13">
        <f>7690-J87</f>
        <v>4356</v>
      </c>
      <c r="K88" s="13">
        <f>7643-K87</f>
        <v>5496</v>
      </c>
      <c r="L88" s="13">
        <f>8001-L87</f>
        <v>5066</v>
      </c>
      <c r="M88" s="13">
        <f>10311-M87</f>
        <v>7439</v>
      </c>
      <c r="N88" s="13">
        <v>8481</v>
      </c>
      <c r="O88" s="13">
        <f>7540-O87</f>
        <v>5749</v>
      </c>
      <c r="P88" s="13">
        <f>8595-P87</f>
        <v>6680</v>
      </c>
      <c r="Q88" s="13">
        <f>8153-Q87</f>
        <v>6882</v>
      </c>
      <c r="R88" s="28">
        <f>8267-1174</f>
        <v>7093</v>
      </c>
      <c r="S88" s="28">
        <f>7125-1417</f>
        <v>5708</v>
      </c>
      <c r="T88" s="28">
        <f>5207-829</f>
        <v>4378</v>
      </c>
      <c r="U88" s="39">
        <f>4457-795</f>
        <v>3662</v>
      </c>
      <c r="V88" s="28">
        <f>4187-665</f>
        <v>3522</v>
      </c>
      <c r="W88" s="42"/>
      <c r="X88" s="42"/>
      <c r="Y88" s="42"/>
      <c r="Z88" s="42"/>
      <c r="AA88" s="42"/>
      <c r="AB88" s="42"/>
    </row>
    <row r="89" spans="2:28" ht="12.75">
      <c r="B89" s="3" t="s">
        <v>39</v>
      </c>
      <c r="C89" s="13">
        <v>71</v>
      </c>
      <c r="D89" s="13">
        <v>0</v>
      </c>
      <c r="E89" s="13">
        <v>308</v>
      </c>
      <c r="F89" s="13">
        <v>2769</v>
      </c>
      <c r="G89" s="13">
        <v>3204</v>
      </c>
      <c r="H89" s="13">
        <v>2539</v>
      </c>
      <c r="I89" s="13">
        <v>1476</v>
      </c>
      <c r="J89" s="13">
        <v>1812</v>
      </c>
      <c r="K89" s="13">
        <v>1359</v>
      </c>
      <c r="L89" s="13">
        <v>1031</v>
      </c>
      <c r="M89" s="13">
        <v>1035</v>
      </c>
      <c r="N89" s="13">
        <v>971</v>
      </c>
      <c r="O89" s="13">
        <v>1333</v>
      </c>
      <c r="P89" s="13">
        <v>1223</v>
      </c>
      <c r="Q89" s="13">
        <v>1041</v>
      </c>
      <c r="R89" s="28">
        <v>821</v>
      </c>
      <c r="S89" s="28">
        <v>878</v>
      </c>
      <c r="T89" s="28">
        <v>121</v>
      </c>
      <c r="U89" s="39">
        <v>59</v>
      </c>
      <c r="V89" s="28">
        <v>536</v>
      </c>
      <c r="W89" s="42"/>
      <c r="X89" s="42"/>
      <c r="Y89" s="42"/>
      <c r="Z89" s="42"/>
      <c r="AA89" s="42"/>
      <c r="AB89" s="42"/>
    </row>
    <row r="90" spans="2:28" ht="12.75">
      <c r="B90" s="2" t="s">
        <v>56</v>
      </c>
      <c r="C90" s="12">
        <f aca="true" t="shared" si="25" ref="C90:J90">SUM(C86:C89)</f>
        <v>55146</v>
      </c>
      <c r="D90" s="12">
        <f>SUM(D86:D89)</f>
        <v>56676</v>
      </c>
      <c r="E90" s="12">
        <f t="shared" si="25"/>
        <v>11565</v>
      </c>
      <c r="F90" s="12">
        <f t="shared" si="25"/>
        <v>31728</v>
      </c>
      <c r="G90" s="12">
        <f t="shared" si="25"/>
        <v>31769</v>
      </c>
      <c r="H90" s="12">
        <f t="shared" si="25"/>
        <v>36336</v>
      </c>
      <c r="I90" s="12">
        <f t="shared" si="25"/>
        <v>29058</v>
      </c>
      <c r="J90" s="12">
        <f t="shared" si="25"/>
        <v>9502</v>
      </c>
      <c r="K90" s="12">
        <f aca="true" t="shared" si="26" ref="K90:R90">SUM(K86:K89)</f>
        <v>9002</v>
      </c>
      <c r="L90" s="12">
        <f t="shared" si="26"/>
        <v>9032</v>
      </c>
      <c r="M90" s="12">
        <f t="shared" si="26"/>
        <v>11346</v>
      </c>
      <c r="N90" s="12">
        <f t="shared" si="26"/>
        <v>9452</v>
      </c>
      <c r="O90" s="12">
        <f t="shared" si="26"/>
        <v>8873</v>
      </c>
      <c r="P90" s="12">
        <f t="shared" si="26"/>
        <v>9818</v>
      </c>
      <c r="Q90" s="12">
        <f t="shared" si="26"/>
        <v>9194</v>
      </c>
      <c r="R90" s="30">
        <f t="shared" si="26"/>
        <v>9088</v>
      </c>
      <c r="S90" s="30">
        <f>SUM(S86:S89)</f>
        <v>8003</v>
      </c>
      <c r="T90" s="30">
        <f>SUM(T86:T89)</f>
        <v>5328</v>
      </c>
      <c r="U90" s="41">
        <f>SUM(U86:U89)</f>
        <v>4516</v>
      </c>
      <c r="V90" s="30">
        <f>SUM(V86:V89)</f>
        <v>4723</v>
      </c>
      <c r="W90" s="6"/>
      <c r="X90" s="6"/>
      <c r="Y90" s="6"/>
      <c r="Z90" s="6"/>
      <c r="AA90" s="6"/>
      <c r="AB90" s="42"/>
    </row>
    <row r="91" spans="2:28" ht="12.75">
      <c r="B91" s="2" t="s">
        <v>40</v>
      </c>
      <c r="C91" s="12">
        <f aca="true" t="shared" si="27" ref="C91:J91">C78+C84+C90</f>
        <v>81032</v>
      </c>
      <c r="D91" s="12">
        <f>D78+D84+D90</f>
        <v>73820</v>
      </c>
      <c r="E91" s="12">
        <f t="shared" si="27"/>
        <v>75421</v>
      </c>
      <c r="F91" s="12">
        <f t="shared" si="27"/>
        <v>39592</v>
      </c>
      <c r="G91" s="12">
        <f t="shared" si="27"/>
        <v>38996</v>
      </c>
      <c r="H91" s="12">
        <f t="shared" si="27"/>
        <v>42460</v>
      </c>
      <c r="I91" s="12">
        <f t="shared" si="27"/>
        <v>34478</v>
      </c>
      <c r="J91" s="12">
        <f t="shared" si="27"/>
        <v>14453</v>
      </c>
      <c r="K91" s="12">
        <f aca="true" t="shared" si="28" ref="K91:R91">K78+K84+K90</f>
        <v>14390</v>
      </c>
      <c r="L91" s="12">
        <f t="shared" si="28"/>
        <v>13849</v>
      </c>
      <c r="M91" s="12">
        <f t="shared" si="28"/>
        <v>15861</v>
      </c>
      <c r="N91" s="12">
        <f t="shared" si="28"/>
        <v>13642</v>
      </c>
      <c r="O91" s="12">
        <f t="shared" si="28"/>
        <v>12725</v>
      </c>
      <c r="P91" s="12">
        <f t="shared" si="28"/>
        <v>14220</v>
      </c>
      <c r="Q91" s="12">
        <f>Q78+Q84+Q90</f>
        <v>12714</v>
      </c>
      <c r="R91" s="30">
        <f t="shared" si="28"/>
        <v>12152</v>
      </c>
      <c r="S91" s="30">
        <f>S78+S84+S90</f>
        <v>10715</v>
      </c>
      <c r="T91" s="30">
        <f>T78+T84+T90</f>
        <v>7728</v>
      </c>
      <c r="U91" s="41">
        <f>U78+U84+U90</f>
        <v>6520</v>
      </c>
      <c r="V91" s="30">
        <f>V78+V84+V90</f>
        <v>6418</v>
      </c>
      <c r="W91" s="6"/>
      <c r="X91" s="6"/>
      <c r="Y91" s="6"/>
      <c r="Z91" s="6"/>
      <c r="AA91" s="6"/>
      <c r="AB91" s="42"/>
    </row>
    <row r="92" spans="3:28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5"/>
      <c r="S92" s="5"/>
      <c r="T92" s="5"/>
      <c r="U92" s="19"/>
      <c r="V92" s="5"/>
      <c r="W92" s="42"/>
      <c r="X92" s="42"/>
      <c r="Y92" s="42"/>
      <c r="Z92" s="42"/>
      <c r="AA92" s="42"/>
      <c r="AB92" s="42"/>
    </row>
    <row r="93" spans="2:28" ht="12.75">
      <c r="B93" s="2" t="s">
        <v>41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5"/>
      <c r="S93" s="5"/>
      <c r="T93" s="5"/>
      <c r="U93" s="19"/>
      <c r="V93" s="5"/>
      <c r="W93" s="42"/>
      <c r="X93" s="42"/>
      <c r="Y93" s="42"/>
      <c r="Z93" s="42"/>
      <c r="AA93" s="42"/>
      <c r="AB93" s="42"/>
    </row>
    <row r="94" spans="2:28" ht="12.75">
      <c r="B94" s="2" t="s">
        <v>42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5"/>
      <c r="S94" s="5"/>
      <c r="T94" s="5"/>
      <c r="U94" s="19"/>
      <c r="V94" s="5"/>
      <c r="W94" s="42"/>
      <c r="X94" s="42"/>
      <c r="Y94" s="42"/>
      <c r="Z94" s="42"/>
      <c r="AA94" s="42"/>
      <c r="AB94" s="42"/>
    </row>
    <row r="95" spans="2:28" ht="12.75">
      <c r="B95" s="2" t="s">
        <v>80</v>
      </c>
      <c r="C95" s="13">
        <v>5020</v>
      </c>
      <c r="D95" s="13">
        <v>4793</v>
      </c>
      <c r="E95" s="13">
        <v>4573</v>
      </c>
      <c r="F95" s="13">
        <v>4514</v>
      </c>
      <c r="G95" s="13">
        <v>4405</v>
      </c>
      <c r="H95" s="13">
        <v>2755</v>
      </c>
      <c r="I95" s="13">
        <v>2718</v>
      </c>
      <c r="J95" s="13">
        <v>2560</v>
      </c>
      <c r="K95" s="13">
        <v>2430</v>
      </c>
      <c r="L95" s="13">
        <v>2213</v>
      </c>
      <c r="M95" s="13">
        <v>2312</v>
      </c>
      <c r="N95" s="13">
        <v>1536</v>
      </c>
      <c r="O95" s="13">
        <v>1463</v>
      </c>
      <c r="P95" s="13">
        <v>1160</v>
      </c>
      <c r="Q95" s="13">
        <v>1082</v>
      </c>
      <c r="R95" s="5">
        <v>1020</v>
      </c>
      <c r="S95" s="5">
        <v>984</v>
      </c>
      <c r="T95" s="5">
        <v>754</v>
      </c>
      <c r="U95" s="19">
        <v>664</v>
      </c>
      <c r="V95" s="5">
        <v>624</v>
      </c>
      <c r="W95" s="42"/>
      <c r="X95" s="42"/>
      <c r="Y95" s="42"/>
      <c r="Z95" s="42"/>
      <c r="AA95" s="42"/>
      <c r="AB95" s="42"/>
    </row>
    <row r="96" spans="2:28" ht="12.75">
      <c r="B96" s="2" t="s">
        <v>81</v>
      </c>
      <c r="C96" s="13">
        <v>1421</v>
      </c>
      <c r="D96" s="13">
        <v>1365</v>
      </c>
      <c r="E96" s="13">
        <v>1215</v>
      </c>
      <c r="F96" s="13">
        <v>1097</v>
      </c>
      <c r="G96" s="13">
        <v>952</v>
      </c>
      <c r="H96" s="13">
        <v>779</v>
      </c>
      <c r="I96" s="13">
        <v>751</v>
      </c>
      <c r="J96" s="13">
        <v>683</v>
      </c>
      <c r="K96" s="13">
        <v>603</v>
      </c>
      <c r="L96" s="13">
        <v>537</v>
      </c>
      <c r="M96" s="13">
        <v>542</v>
      </c>
      <c r="N96" s="13">
        <v>471</v>
      </c>
      <c r="O96" s="13">
        <v>424</v>
      </c>
      <c r="P96" s="13">
        <v>375</v>
      </c>
      <c r="Q96" s="13">
        <v>308</v>
      </c>
      <c r="R96" s="5">
        <v>265</v>
      </c>
      <c r="S96" s="5">
        <v>225</v>
      </c>
      <c r="T96" s="5">
        <v>185</v>
      </c>
      <c r="U96" s="19">
        <v>141</v>
      </c>
      <c r="V96" s="5">
        <v>104</v>
      </c>
      <c r="W96" s="42"/>
      <c r="X96" s="42"/>
      <c r="Y96" s="42"/>
      <c r="Z96" s="42"/>
      <c r="AA96" s="42"/>
      <c r="AB96" s="42"/>
    </row>
    <row r="97" spans="2:28" ht="12.75">
      <c r="B97" s="2" t="s">
        <v>93</v>
      </c>
      <c r="C97" s="12">
        <v>3599</v>
      </c>
      <c r="D97" s="12">
        <v>3428</v>
      </c>
      <c r="E97" s="12">
        <v>3358</v>
      </c>
      <c r="F97" s="12">
        <v>3418</v>
      </c>
      <c r="G97" s="12">
        <v>3454</v>
      </c>
      <c r="H97" s="12">
        <v>1976</v>
      </c>
      <c r="I97" s="12">
        <v>1967</v>
      </c>
      <c r="J97" s="12">
        <v>1877</v>
      </c>
      <c r="K97" s="12">
        <v>1827</v>
      </c>
      <c r="L97" s="12">
        <v>1640</v>
      </c>
      <c r="M97" s="12">
        <v>1770</v>
      </c>
      <c r="N97" s="12">
        <v>1065</v>
      </c>
      <c r="O97" s="12">
        <v>1039</v>
      </c>
      <c r="P97" s="12">
        <v>784</v>
      </c>
      <c r="Q97" s="12">
        <v>774</v>
      </c>
      <c r="R97" s="30">
        <v>755</v>
      </c>
      <c r="S97" s="30">
        <v>759</v>
      </c>
      <c r="T97" s="30">
        <v>570</v>
      </c>
      <c r="U97" s="41">
        <v>523</v>
      </c>
      <c r="V97" s="30">
        <v>520</v>
      </c>
      <c r="W97" s="42"/>
      <c r="X97" s="42"/>
      <c r="Y97" s="42"/>
      <c r="Z97" s="42"/>
      <c r="AA97" s="42"/>
      <c r="AB97" s="42"/>
    </row>
    <row r="98" spans="2:28" ht="12.75">
      <c r="B98" s="2" t="s">
        <v>94</v>
      </c>
      <c r="C98" s="13">
        <v>4543</v>
      </c>
      <c r="D98" s="13">
        <v>1405</v>
      </c>
      <c r="E98" s="13">
        <v>217</v>
      </c>
      <c r="F98" s="13">
        <v>302</v>
      </c>
      <c r="G98" s="13">
        <v>97</v>
      </c>
      <c r="H98" s="13">
        <v>7084</v>
      </c>
      <c r="I98" s="13">
        <v>1190</v>
      </c>
      <c r="J98" s="13">
        <v>233</v>
      </c>
      <c r="K98" s="13">
        <v>121</v>
      </c>
      <c r="L98" s="13">
        <v>63</v>
      </c>
      <c r="M98" s="13">
        <v>52</v>
      </c>
      <c r="N98" s="13">
        <v>414</v>
      </c>
      <c r="O98" s="13">
        <v>250</v>
      </c>
      <c r="P98" s="13">
        <v>365</v>
      </c>
      <c r="Q98" s="13">
        <v>279</v>
      </c>
      <c r="R98" s="5">
        <v>152</v>
      </c>
      <c r="S98" s="5">
        <v>25</v>
      </c>
      <c r="T98" s="5">
        <v>165</v>
      </c>
      <c r="U98" s="19">
        <v>70</v>
      </c>
      <c r="V98" s="5">
        <v>22</v>
      </c>
      <c r="W98" s="42"/>
      <c r="X98" s="42"/>
      <c r="Y98" s="42"/>
      <c r="Z98" s="42"/>
      <c r="AA98" s="42"/>
      <c r="AB98" s="42"/>
    </row>
    <row r="99" spans="2:28" ht="12.75">
      <c r="B99" s="3" t="s">
        <v>95</v>
      </c>
      <c r="C99" s="12">
        <f>C97+C98</f>
        <v>8142</v>
      </c>
      <c r="D99" s="12">
        <f>D97+D98</f>
        <v>4833</v>
      </c>
      <c r="E99" s="12">
        <f aca="true" t="shared" si="29" ref="E99:V99">E97+E98</f>
        <v>3575</v>
      </c>
      <c r="F99" s="12">
        <f t="shared" si="29"/>
        <v>3720</v>
      </c>
      <c r="G99" s="12">
        <f t="shared" si="29"/>
        <v>3551</v>
      </c>
      <c r="H99" s="12">
        <f t="shared" si="29"/>
        <v>9060</v>
      </c>
      <c r="I99" s="12">
        <f t="shared" si="29"/>
        <v>3157</v>
      </c>
      <c r="J99" s="12">
        <f t="shared" si="29"/>
        <v>2110</v>
      </c>
      <c r="K99" s="12">
        <f t="shared" si="29"/>
        <v>1948</v>
      </c>
      <c r="L99" s="12">
        <f t="shared" si="29"/>
        <v>1703</v>
      </c>
      <c r="M99" s="12">
        <f t="shared" si="29"/>
        <v>1822</v>
      </c>
      <c r="N99" s="12">
        <f t="shared" si="29"/>
        <v>1479</v>
      </c>
      <c r="O99" s="12">
        <f t="shared" si="29"/>
        <v>1289</v>
      </c>
      <c r="P99" s="12">
        <f t="shared" si="29"/>
        <v>1149</v>
      </c>
      <c r="Q99" s="12">
        <f t="shared" si="29"/>
        <v>1053</v>
      </c>
      <c r="R99" s="12">
        <f t="shared" si="29"/>
        <v>907</v>
      </c>
      <c r="S99" s="12">
        <f t="shared" si="29"/>
        <v>784</v>
      </c>
      <c r="T99" s="12">
        <f t="shared" si="29"/>
        <v>735</v>
      </c>
      <c r="U99" s="20">
        <f t="shared" si="29"/>
        <v>593</v>
      </c>
      <c r="V99" s="12">
        <f t="shared" si="29"/>
        <v>542</v>
      </c>
      <c r="W99" s="46"/>
      <c r="X99" s="42"/>
      <c r="Y99" s="42"/>
      <c r="Z99" s="42"/>
      <c r="AA99" s="42"/>
      <c r="AB99" s="42"/>
    </row>
    <row r="100" spans="2:28" ht="12.75">
      <c r="B100" s="3" t="s">
        <v>43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28</v>
      </c>
      <c r="K100" s="13">
        <v>0</v>
      </c>
      <c r="L100" s="13">
        <v>0</v>
      </c>
      <c r="M100" s="13">
        <v>1</v>
      </c>
      <c r="N100" s="13">
        <v>0</v>
      </c>
      <c r="O100" s="13">
        <v>0</v>
      </c>
      <c r="P100" s="13">
        <v>0</v>
      </c>
      <c r="Q100" s="13">
        <v>0</v>
      </c>
      <c r="R100" s="5"/>
      <c r="S100" s="5"/>
      <c r="T100" s="5"/>
      <c r="U100" s="19"/>
      <c r="V100" s="5"/>
      <c r="W100" s="42"/>
      <c r="X100" s="42"/>
      <c r="Y100" s="42"/>
      <c r="Z100" s="42"/>
      <c r="AA100" s="42"/>
      <c r="AB100" s="42"/>
    </row>
    <row r="101" spans="2:28" ht="12.75">
      <c r="B101" s="3" t="s">
        <v>44</v>
      </c>
      <c r="C101" s="13">
        <v>3952</v>
      </c>
      <c r="D101" s="13">
        <v>5161</v>
      </c>
      <c r="E101" s="13">
        <v>40665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5"/>
      <c r="S101" s="5"/>
      <c r="T101" s="5"/>
      <c r="U101" s="19"/>
      <c r="V101" s="5"/>
      <c r="W101" s="42"/>
      <c r="X101" s="42"/>
      <c r="Y101" s="42"/>
      <c r="Z101" s="42"/>
      <c r="AA101" s="42"/>
      <c r="AB101" s="42"/>
    </row>
    <row r="102" spans="2:28" ht="12.75">
      <c r="B102" s="3" t="s">
        <v>45</v>
      </c>
      <c r="C102" s="13">
        <v>13</v>
      </c>
      <c r="D102" s="13">
        <v>26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5"/>
      <c r="S102" s="5"/>
      <c r="T102" s="5"/>
      <c r="U102" s="19"/>
      <c r="V102" s="5"/>
      <c r="W102" s="42"/>
      <c r="X102" s="42"/>
      <c r="Y102" s="42"/>
      <c r="Z102" s="42"/>
      <c r="AA102" s="42"/>
      <c r="AB102" s="42"/>
    </row>
    <row r="103" spans="2:28" ht="12.75">
      <c r="B103" s="2" t="s">
        <v>46</v>
      </c>
      <c r="C103" s="12">
        <f aca="true" t="shared" si="30" ref="C103:J103">SUM(C99:C102)</f>
        <v>12107</v>
      </c>
      <c r="D103" s="12">
        <f>SUM(D99:D102)</f>
        <v>10020</v>
      </c>
      <c r="E103" s="12">
        <f t="shared" si="30"/>
        <v>44240</v>
      </c>
      <c r="F103" s="12">
        <f t="shared" si="30"/>
        <v>3720</v>
      </c>
      <c r="G103" s="12">
        <f t="shared" si="30"/>
        <v>3551</v>
      </c>
      <c r="H103" s="12">
        <f t="shared" si="30"/>
        <v>9060</v>
      </c>
      <c r="I103" s="12">
        <f t="shared" si="30"/>
        <v>3157</v>
      </c>
      <c r="J103" s="12">
        <f t="shared" si="30"/>
        <v>2138</v>
      </c>
      <c r="K103" s="12">
        <f aca="true" t="shared" si="31" ref="K103:R103">SUM(K99:K102)</f>
        <v>1948</v>
      </c>
      <c r="L103" s="12">
        <f t="shared" si="31"/>
        <v>1703</v>
      </c>
      <c r="M103" s="12">
        <f t="shared" si="31"/>
        <v>1823</v>
      </c>
      <c r="N103" s="12">
        <f t="shared" si="31"/>
        <v>1479</v>
      </c>
      <c r="O103" s="12">
        <f t="shared" si="31"/>
        <v>1289</v>
      </c>
      <c r="P103" s="12">
        <f t="shared" si="31"/>
        <v>1149</v>
      </c>
      <c r="Q103" s="12">
        <f t="shared" si="31"/>
        <v>1053</v>
      </c>
      <c r="R103" s="30">
        <f t="shared" si="31"/>
        <v>907</v>
      </c>
      <c r="S103" s="30">
        <f>SUM(S99:S102)</f>
        <v>784</v>
      </c>
      <c r="T103" s="30">
        <f>SUM(T99:T102)</f>
        <v>735</v>
      </c>
      <c r="U103" s="41">
        <f>SUM(U99:U102)</f>
        <v>593</v>
      </c>
      <c r="V103" s="30">
        <f>SUM(V99:V102)</f>
        <v>542</v>
      </c>
      <c r="W103" s="6"/>
      <c r="X103" s="6"/>
      <c r="Y103" s="6"/>
      <c r="Z103" s="6"/>
      <c r="AA103" s="6"/>
      <c r="AB103" s="42"/>
    </row>
    <row r="104" spans="2:28" ht="12.75">
      <c r="B104" s="2" t="s">
        <v>74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>
        <v>900</v>
      </c>
      <c r="R104" s="30">
        <v>1697</v>
      </c>
      <c r="S104" s="5">
        <v>2387</v>
      </c>
      <c r="T104" s="12">
        <v>2387</v>
      </c>
      <c r="U104" s="20">
        <v>2387</v>
      </c>
      <c r="V104" s="12">
        <v>2304</v>
      </c>
      <c r="W104" s="42"/>
      <c r="X104" s="42"/>
      <c r="Y104" s="42"/>
      <c r="Z104" s="42"/>
      <c r="AA104" s="42"/>
      <c r="AB104" s="42"/>
    </row>
    <row r="105" spans="2:28" ht="12.75">
      <c r="B105" s="2" t="s">
        <v>47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5"/>
      <c r="S105" s="5"/>
      <c r="T105" s="5"/>
      <c r="U105" s="19"/>
      <c r="V105" s="5"/>
      <c r="W105" s="42"/>
      <c r="X105" s="42"/>
      <c r="Y105" s="42"/>
      <c r="Z105" s="42"/>
      <c r="AA105" s="42"/>
      <c r="AB105" s="42"/>
    </row>
    <row r="106" spans="2:28" ht="12.75">
      <c r="B106" s="3" t="s">
        <v>48</v>
      </c>
      <c r="C106" s="13">
        <v>4343</v>
      </c>
      <c r="D106" s="13">
        <v>3252</v>
      </c>
      <c r="E106" s="13">
        <v>2134</v>
      </c>
      <c r="F106" s="13">
        <v>3264</v>
      </c>
      <c r="G106" s="13">
        <v>2872</v>
      </c>
      <c r="H106" s="13">
        <v>1908</v>
      </c>
      <c r="I106" s="13">
        <v>1888</v>
      </c>
      <c r="J106" s="13">
        <v>1634</v>
      </c>
      <c r="K106" s="13">
        <v>1290</v>
      </c>
      <c r="L106" s="13">
        <v>1614</v>
      </c>
      <c r="M106" s="13">
        <v>1464</v>
      </c>
      <c r="N106" s="13">
        <v>1219</v>
      </c>
      <c r="O106" s="13">
        <v>962</v>
      </c>
      <c r="P106" s="13">
        <v>735</v>
      </c>
      <c r="Q106" s="13">
        <v>485</v>
      </c>
      <c r="R106" s="28">
        <v>534</v>
      </c>
      <c r="S106" s="28">
        <v>446</v>
      </c>
      <c r="T106" s="28">
        <v>364</v>
      </c>
      <c r="U106" s="39">
        <v>433</v>
      </c>
      <c r="V106" s="28">
        <v>457</v>
      </c>
      <c r="W106" s="42"/>
      <c r="X106" s="42"/>
      <c r="Y106" s="42"/>
      <c r="Z106" s="42"/>
      <c r="AA106" s="42"/>
      <c r="AB106" s="42"/>
    </row>
    <row r="107" spans="2:28" ht="12.75">
      <c r="B107" s="3" t="s">
        <v>49</v>
      </c>
      <c r="C107" s="13">
        <v>583</v>
      </c>
      <c r="D107" s="13">
        <v>399</v>
      </c>
      <c r="E107" s="13">
        <v>185</v>
      </c>
      <c r="F107" s="13">
        <v>203</v>
      </c>
      <c r="G107" s="13">
        <v>224</v>
      </c>
      <c r="H107" s="13">
        <v>207</v>
      </c>
      <c r="I107" s="13">
        <v>139</v>
      </c>
      <c r="J107" s="13">
        <v>225</v>
      </c>
      <c r="K107" s="13">
        <v>167</v>
      </c>
      <c r="L107" s="13">
        <v>136</v>
      </c>
      <c r="M107" s="13">
        <v>132</v>
      </c>
      <c r="N107" s="13">
        <v>106</v>
      </c>
      <c r="O107" s="13">
        <v>76</v>
      </c>
      <c r="P107" s="13">
        <v>147</v>
      </c>
      <c r="Q107" s="13">
        <v>98</v>
      </c>
      <c r="R107" s="28">
        <v>52</v>
      </c>
      <c r="S107" s="28">
        <v>41</v>
      </c>
      <c r="T107" s="28">
        <v>41</v>
      </c>
      <c r="U107" s="39">
        <v>56</v>
      </c>
      <c r="V107" s="28">
        <v>15</v>
      </c>
      <c r="W107" s="42"/>
      <c r="X107" s="42"/>
      <c r="Y107" s="42"/>
      <c r="Z107" s="42"/>
      <c r="AA107" s="42"/>
      <c r="AB107" s="42"/>
    </row>
    <row r="108" spans="2:28" ht="12.75">
      <c r="B108" s="3" t="s">
        <v>50</v>
      </c>
      <c r="C108" s="13">
        <v>56361</v>
      </c>
      <c r="D108" s="13">
        <v>52238</v>
      </c>
      <c r="E108" s="13">
        <v>24391</v>
      </c>
      <c r="F108" s="13">
        <v>24010</v>
      </c>
      <c r="G108" s="13">
        <v>24340</v>
      </c>
      <c r="H108" s="13">
        <v>25571</v>
      </c>
      <c r="I108" s="13">
        <v>26063</v>
      </c>
      <c r="J108" s="13">
        <v>7797</v>
      </c>
      <c r="K108" s="13">
        <v>8905</v>
      </c>
      <c r="L108" s="13">
        <v>7842</v>
      </c>
      <c r="M108" s="13">
        <v>9687</v>
      </c>
      <c r="N108" s="13">
        <v>9087</v>
      </c>
      <c r="O108" s="13">
        <v>7445</v>
      </c>
      <c r="P108" s="13">
        <v>8765</v>
      </c>
      <c r="Q108" s="13">
        <v>8043</v>
      </c>
      <c r="R108" s="28">
        <v>7183</v>
      </c>
      <c r="S108" s="28">
        <v>5493</v>
      </c>
      <c r="T108" s="28">
        <v>3318</v>
      </c>
      <c r="U108" s="39">
        <v>2008</v>
      </c>
      <c r="V108" s="28">
        <v>1862</v>
      </c>
      <c r="W108" s="42"/>
      <c r="X108" s="42"/>
      <c r="Y108" s="42"/>
      <c r="Z108" s="42"/>
      <c r="AA108" s="42"/>
      <c r="AB108" s="42"/>
    </row>
    <row r="109" spans="2:28" ht="12.75">
      <c r="B109" s="3" t="s">
        <v>51</v>
      </c>
      <c r="C109" s="13">
        <v>4134</v>
      </c>
      <c r="D109" s="13">
        <v>7083</v>
      </c>
      <c r="E109" s="13">
        <v>3689</v>
      </c>
      <c r="F109" s="13">
        <v>8395</v>
      </c>
      <c r="G109" s="13">
        <v>8009</v>
      </c>
      <c r="H109" s="13">
        <v>4683</v>
      </c>
      <c r="I109" s="13">
        <v>2660</v>
      </c>
      <c r="J109" s="13">
        <v>2412</v>
      </c>
      <c r="K109" s="13">
        <v>1844</v>
      </c>
      <c r="L109" s="13">
        <v>2033</v>
      </c>
      <c r="M109" s="13">
        <v>2197</v>
      </c>
      <c r="N109" s="13">
        <v>1408</v>
      </c>
      <c r="O109" s="13">
        <v>2664</v>
      </c>
      <c r="P109" s="13">
        <v>2910</v>
      </c>
      <c r="Q109" s="13">
        <v>1641</v>
      </c>
      <c r="R109" s="28">
        <v>1344</v>
      </c>
      <c r="S109" s="28">
        <v>1378</v>
      </c>
      <c r="T109" s="28">
        <v>770</v>
      </c>
      <c r="U109" s="39">
        <v>854</v>
      </c>
      <c r="V109" s="28">
        <v>1078</v>
      </c>
      <c r="W109" s="42"/>
      <c r="X109" s="42"/>
      <c r="Y109" s="42"/>
      <c r="Z109" s="42"/>
      <c r="AA109" s="42"/>
      <c r="AB109" s="42"/>
    </row>
    <row r="110" spans="2:28" ht="12.75">
      <c r="B110" s="3" t="s">
        <v>52</v>
      </c>
      <c r="C110" s="13">
        <v>3504</v>
      </c>
      <c r="D110" s="13">
        <v>828</v>
      </c>
      <c r="E110" s="13">
        <v>782</v>
      </c>
      <c r="F110" s="13">
        <v>0</v>
      </c>
      <c r="G110" s="13">
        <v>0</v>
      </c>
      <c r="H110" s="13">
        <v>1031</v>
      </c>
      <c r="I110" s="13">
        <v>572</v>
      </c>
      <c r="J110" s="13">
        <v>247</v>
      </c>
      <c r="K110" s="13">
        <v>237</v>
      </c>
      <c r="L110" s="13">
        <v>521</v>
      </c>
      <c r="M110" s="13">
        <v>557</v>
      </c>
      <c r="N110" s="13">
        <v>343</v>
      </c>
      <c r="O110" s="13">
        <v>289</v>
      </c>
      <c r="P110" s="13">
        <f>513+1</f>
        <v>514</v>
      </c>
      <c r="Q110" s="13">
        <f>485+9</f>
        <v>494</v>
      </c>
      <c r="R110" s="28">
        <f>400+35</f>
        <v>435</v>
      </c>
      <c r="S110" s="28">
        <f>177+9</f>
        <v>186</v>
      </c>
      <c r="T110" s="28">
        <f>105+9</f>
        <v>114</v>
      </c>
      <c r="U110" s="39">
        <f>110+79</f>
        <v>189</v>
      </c>
      <c r="V110" s="28">
        <f>81+79</f>
        <v>160</v>
      </c>
      <c r="W110" s="42"/>
      <c r="X110" s="42"/>
      <c r="Y110" s="42"/>
      <c r="Z110" s="42"/>
      <c r="AA110" s="42"/>
      <c r="AB110" s="42"/>
    </row>
    <row r="111" spans="2:28" ht="12.75">
      <c r="B111" s="2" t="s">
        <v>57</v>
      </c>
      <c r="C111" s="12">
        <f aca="true" t="shared" si="32" ref="C111:J111">SUM(C106:C110)</f>
        <v>68925</v>
      </c>
      <c r="D111" s="12">
        <f>SUM(D106:D110)</f>
        <v>63800</v>
      </c>
      <c r="E111" s="12">
        <f t="shared" si="32"/>
        <v>31181</v>
      </c>
      <c r="F111" s="12">
        <f t="shared" si="32"/>
        <v>35872</v>
      </c>
      <c r="G111" s="12">
        <f t="shared" si="32"/>
        <v>35445</v>
      </c>
      <c r="H111" s="12">
        <f t="shared" si="32"/>
        <v>33400</v>
      </c>
      <c r="I111" s="12">
        <f t="shared" si="32"/>
        <v>31322</v>
      </c>
      <c r="J111" s="12">
        <f t="shared" si="32"/>
        <v>12315</v>
      </c>
      <c r="K111" s="12">
        <f aca="true" t="shared" si="33" ref="K111:R111">SUM(K106:K110)</f>
        <v>12443</v>
      </c>
      <c r="L111" s="12">
        <f t="shared" si="33"/>
        <v>12146</v>
      </c>
      <c r="M111" s="12">
        <f t="shared" si="33"/>
        <v>14037</v>
      </c>
      <c r="N111" s="12">
        <f t="shared" si="33"/>
        <v>12163</v>
      </c>
      <c r="O111" s="12">
        <f t="shared" si="33"/>
        <v>11436</v>
      </c>
      <c r="P111" s="12">
        <f t="shared" si="33"/>
        <v>13071</v>
      </c>
      <c r="Q111" s="12">
        <f t="shared" si="33"/>
        <v>10761</v>
      </c>
      <c r="R111" s="30">
        <f t="shared" si="33"/>
        <v>9548</v>
      </c>
      <c r="S111" s="30">
        <f>SUM(S106:S110)</f>
        <v>7544</v>
      </c>
      <c r="T111" s="30">
        <f>SUM(T106:T110)</f>
        <v>4607</v>
      </c>
      <c r="U111" s="41">
        <f>SUM(U106:U110)</f>
        <v>3540</v>
      </c>
      <c r="V111" s="30">
        <f>SUM(V106:V110)</f>
        <v>3572</v>
      </c>
      <c r="W111" s="6"/>
      <c r="X111" s="6"/>
      <c r="Y111" s="6"/>
      <c r="Z111" s="6"/>
      <c r="AA111" s="6"/>
      <c r="AB111" s="42"/>
    </row>
    <row r="112" spans="2:28" ht="12.75">
      <c r="B112" s="2" t="s">
        <v>53</v>
      </c>
      <c r="C112" s="12">
        <f aca="true" t="shared" si="34" ref="C112:J112">C103+C111</f>
        <v>81032</v>
      </c>
      <c r="D112" s="12">
        <f t="shared" si="34"/>
        <v>73820</v>
      </c>
      <c r="E112" s="12">
        <f t="shared" si="34"/>
        <v>75421</v>
      </c>
      <c r="F112" s="12">
        <f t="shared" si="34"/>
        <v>39592</v>
      </c>
      <c r="G112" s="12">
        <f t="shared" si="34"/>
        <v>38996</v>
      </c>
      <c r="H112" s="12">
        <f>H103+H111</f>
        <v>42460</v>
      </c>
      <c r="I112" s="12">
        <f t="shared" si="34"/>
        <v>34479</v>
      </c>
      <c r="J112" s="12">
        <f t="shared" si="34"/>
        <v>14453</v>
      </c>
      <c r="K112" s="12">
        <f aca="true" t="shared" si="35" ref="K112:P112">K103+K111</f>
        <v>14391</v>
      </c>
      <c r="L112" s="12">
        <f t="shared" si="35"/>
        <v>13849</v>
      </c>
      <c r="M112" s="12">
        <f t="shared" si="35"/>
        <v>15860</v>
      </c>
      <c r="N112" s="12">
        <f t="shared" si="35"/>
        <v>13642</v>
      </c>
      <c r="O112" s="12">
        <f t="shared" si="35"/>
        <v>12725</v>
      </c>
      <c r="P112" s="12">
        <f t="shared" si="35"/>
        <v>14220</v>
      </c>
      <c r="Q112" s="12">
        <f aca="true" t="shared" si="36" ref="Q112:V112">Q103+Q111+Q104</f>
        <v>12714</v>
      </c>
      <c r="R112" s="30">
        <f t="shared" si="36"/>
        <v>12152</v>
      </c>
      <c r="S112" s="30">
        <f t="shared" si="36"/>
        <v>10715</v>
      </c>
      <c r="T112" s="30">
        <f t="shared" si="36"/>
        <v>7729</v>
      </c>
      <c r="U112" s="41">
        <f t="shared" si="36"/>
        <v>6520</v>
      </c>
      <c r="V112" s="30">
        <f t="shared" si="36"/>
        <v>6418</v>
      </c>
      <c r="W112" s="6"/>
      <c r="X112" s="6"/>
      <c r="Y112" s="6"/>
      <c r="Z112" s="6"/>
      <c r="AA112" s="6"/>
      <c r="AB112" s="42"/>
    </row>
    <row r="113" spans="22:28" ht="12.75">
      <c r="V113" s="48"/>
      <c r="W113" s="42"/>
      <c r="X113" s="42"/>
      <c r="Y113" s="42"/>
      <c r="Z113" s="42"/>
      <c r="AA113" s="42"/>
      <c r="AB113" s="42"/>
    </row>
    <row r="114" spans="4:28" ht="12.75">
      <c r="D114" s="51">
        <f>D112-D91</f>
        <v>0</v>
      </c>
      <c r="E114" s="51">
        <f aca="true" t="shared" si="37" ref="E114:V114">E112-E91</f>
        <v>0</v>
      </c>
      <c r="F114" s="51">
        <f t="shared" si="37"/>
        <v>0</v>
      </c>
      <c r="G114" s="51">
        <f t="shared" si="37"/>
        <v>0</v>
      </c>
      <c r="H114" s="51">
        <f t="shared" si="37"/>
        <v>0</v>
      </c>
      <c r="I114" s="51">
        <f t="shared" si="37"/>
        <v>1</v>
      </c>
      <c r="J114" s="51">
        <f t="shared" si="37"/>
        <v>0</v>
      </c>
      <c r="K114" s="51">
        <f t="shared" si="37"/>
        <v>1</v>
      </c>
      <c r="L114" s="51">
        <f t="shared" si="37"/>
        <v>0</v>
      </c>
      <c r="M114" s="51">
        <f t="shared" si="37"/>
        <v>-1</v>
      </c>
      <c r="N114" s="51">
        <f t="shared" si="37"/>
        <v>0</v>
      </c>
      <c r="O114" s="51">
        <f t="shared" si="37"/>
        <v>0</v>
      </c>
      <c r="P114" s="51">
        <f t="shared" si="37"/>
        <v>0</v>
      </c>
      <c r="Q114" s="51">
        <f t="shared" si="37"/>
        <v>0</v>
      </c>
      <c r="R114" s="51">
        <f t="shared" si="37"/>
        <v>0</v>
      </c>
      <c r="S114" s="51">
        <f t="shared" si="37"/>
        <v>0</v>
      </c>
      <c r="T114" s="51">
        <f t="shared" si="37"/>
        <v>1</v>
      </c>
      <c r="U114" s="51">
        <f t="shared" si="37"/>
        <v>0</v>
      </c>
      <c r="V114" s="51">
        <f t="shared" si="37"/>
        <v>0</v>
      </c>
      <c r="W114" s="42"/>
      <c r="X114" s="42"/>
      <c r="Y114" s="42"/>
      <c r="Z114" s="42"/>
      <c r="AA114" s="42"/>
      <c r="AB114" s="42"/>
    </row>
    <row r="115" spans="23:28" ht="12.75">
      <c r="W115" s="42"/>
      <c r="X115" s="42"/>
      <c r="Y115" s="42"/>
      <c r="Z115" s="42"/>
      <c r="AA115" s="42"/>
      <c r="AB115" s="42"/>
    </row>
    <row r="116" spans="3:28" ht="12.75">
      <c r="C116">
        <f>(C112+D112)/2</f>
        <v>77426</v>
      </c>
      <c r="D116">
        <f aca="true" t="shared" si="38" ref="D116:U116">(D112+E112)/2</f>
        <v>74620.5</v>
      </c>
      <c r="E116">
        <f t="shared" si="38"/>
        <v>57506.5</v>
      </c>
      <c r="F116">
        <f t="shared" si="38"/>
        <v>39294</v>
      </c>
      <c r="G116">
        <f t="shared" si="38"/>
        <v>40728</v>
      </c>
      <c r="H116">
        <f t="shared" si="38"/>
        <v>38469.5</v>
      </c>
      <c r="I116">
        <f t="shared" si="38"/>
        <v>24466</v>
      </c>
      <c r="J116">
        <f t="shared" si="38"/>
        <v>14422</v>
      </c>
      <c r="K116">
        <f t="shared" si="38"/>
        <v>14120</v>
      </c>
      <c r="L116">
        <f t="shared" si="38"/>
        <v>14854.5</v>
      </c>
      <c r="M116">
        <f t="shared" si="38"/>
        <v>14751</v>
      </c>
      <c r="N116">
        <f t="shared" si="38"/>
        <v>13183.5</v>
      </c>
      <c r="O116">
        <f t="shared" si="38"/>
        <v>13472.5</v>
      </c>
      <c r="P116">
        <f t="shared" si="38"/>
        <v>13467</v>
      </c>
      <c r="Q116">
        <f t="shared" si="38"/>
        <v>12433</v>
      </c>
      <c r="R116">
        <f t="shared" si="38"/>
        <v>11433.5</v>
      </c>
      <c r="S116">
        <f t="shared" si="38"/>
        <v>9222</v>
      </c>
      <c r="T116">
        <f t="shared" si="38"/>
        <v>7124.5</v>
      </c>
      <c r="U116">
        <f t="shared" si="38"/>
        <v>6469</v>
      </c>
      <c r="V116">
        <v>6418</v>
      </c>
      <c r="W116" s="42"/>
      <c r="X116" s="42"/>
      <c r="Y116" s="42"/>
      <c r="Z116" s="42"/>
      <c r="AA116" s="42"/>
      <c r="AB116" s="42"/>
    </row>
    <row r="117" spans="3:28" ht="12.75">
      <c r="C117">
        <f>(C106+D106)/2</f>
        <v>3797.5</v>
      </c>
      <c r="D117">
        <f aca="true" t="shared" si="39" ref="D117:V117">(D106+E106)/2</f>
        <v>2693</v>
      </c>
      <c r="E117">
        <f t="shared" si="39"/>
        <v>2699</v>
      </c>
      <c r="F117">
        <f t="shared" si="39"/>
        <v>3068</v>
      </c>
      <c r="G117">
        <f t="shared" si="39"/>
        <v>2390</v>
      </c>
      <c r="H117">
        <f t="shared" si="39"/>
        <v>1898</v>
      </c>
      <c r="I117">
        <f t="shared" si="39"/>
        <v>1761</v>
      </c>
      <c r="J117">
        <f t="shared" si="39"/>
        <v>1462</v>
      </c>
      <c r="K117">
        <f t="shared" si="39"/>
        <v>1452</v>
      </c>
      <c r="L117">
        <f t="shared" si="39"/>
        <v>1539</v>
      </c>
      <c r="M117">
        <f t="shared" si="39"/>
        <v>1341.5</v>
      </c>
      <c r="N117">
        <f t="shared" si="39"/>
        <v>1090.5</v>
      </c>
      <c r="O117">
        <f t="shared" si="39"/>
        <v>848.5</v>
      </c>
      <c r="P117">
        <f t="shared" si="39"/>
        <v>610</v>
      </c>
      <c r="Q117">
        <f t="shared" si="39"/>
        <v>509.5</v>
      </c>
      <c r="R117">
        <f t="shared" si="39"/>
        <v>490</v>
      </c>
      <c r="S117">
        <f t="shared" si="39"/>
        <v>405</v>
      </c>
      <c r="T117">
        <f t="shared" si="39"/>
        <v>398.5</v>
      </c>
      <c r="U117">
        <f t="shared" si="39"/>
        <v>445</v>
      </c>
      <c r="V117">
        <f t="shared" si="39"/>
        <v>228.5</v>
      </c>
      <c r="W117" s="42"/>
      <c r="X117" s="42"/>
      <c r="Y117" s="42"/>
      <c r="Z117" s="42"/>
      <c r="AA117" s="42"/>
      <c r="AB117" s="42"/>
    </row>
    <row r="118" spans="23:28" ht="12.75">
      <c r="W118" s="42"/>
      <c r="X118" s="42"/>
      <c r="Y118" s="42"/>
      <c r="Z118" s="42"/>
      <c r="AA118" s="42"/>
      <c r="AB118" s="42"/>
    </row>
    <row r="119" spans="23:28" ht="12.75">
      <c r="W119" s="42"/>
      <c r="X119" s="42"/>
      <c r="Y119" s="42"/>
      <c r="Z119" s="42"/>
      <c r="AA119" s="42"/>
      <c r="AB119" s="42"/>
    </row>
    <row r="120" spans="23:28" ht="12.75">
      <c r="W120" s="42"/>
      <c r="X120" s="42"/>
      <c r="Y120" s="42"/>
      <c r="Z120" s="42"/>
      <c r="AA120" s="42"/>
      <c r="AB120" s="42"/>
    </row>
    <row r="121" spans="23:28" ht="12.75">
      <c r="W121" s="42"/>
      <c r="X121" s="42"/>
      <c r="Y121" s="42"/>
      <c r="Z121" s="42"/>
      <c r="AA121" s="42"/>
      <c r="AB121" s="42"/>
    </row>
    <row r="122" spans="23:28" ht="12.75">
      <c r="W122" s="42"/>
      <c r="X122" s="42"/>
      <c r="Y122" s="42"/>
      <c r="Z122" s="42"/>
      <c r="AA122" s="42"/>
      <c r="AB122" s="42"/>
    </row>
    <row r="123" spans="23:28" ht="12.75">
      <c r="W123" s="42"/>
      <c r="X123" s="42"/>
      <c r="Y123" s="42"/>
      <c r="Z123" s="42"/>
      <c r="AA123" s="42"/>
      <c r="AB123" s="42"/>
    </row>
    <row r="124" spans="23:28" ht="12.75">
      <c r="W124" s="42"/>
      <c r="X124" s="42"/>
      <c r="Y124" s="42"/>
      <c r="Z124" s="42"/>
      <c r="AA124" s="42"/>
      <c r="AB124" s="42"/>
    </row>
    <row r="125" spans="23:28" ht="12.75">
      <c r="W125" s="42"/>
      <c r="X125" s="42"/>
      <c r="Y125" s="42"/>
      <c r="Z125" s="42"/>
      <c r="AA125" s="42"/>
      <c r="AB125" s="42"/>
    </row>
    <row r="126" spans="23:28" ht="12.75">
      <c r="W126" s="42"/>
      <c r="X126" s="42"/>
      <c r="Y126" s="42"/>
      <c r="Z126" s="42"/>
      <c r="AA126" s="42"/>
      <c r="AB126" s="42"/>
    </row>
    <row r="127" spans="23:28" ht="12.75">
      <c r="W127" s="42"/>
      <c r="X127" s="42"/>
      <c r="Y127" s="42"/>
      <c r="Z127" s="42"/>
      <c r="AA127" s="42"/>
      <c r="AB127" s="42"/>
    </row>
    <row r="128" spans="23:28" ht="12.75">
      <c r="W128" s="42"/>
      <c r="X128" s="42"/>
      <c r="Y128" s="42"/>
      <c r="Z128" s="42"/>
      <c r="AA128" s="42"/>
      <c r="AB128" s="42"/>
    </row>
    <row r="129" spans="23:28" ht="12.75">
      <c r="W129" s="42"/>
      <c r="X129" s="42"/>
      <c r="Y129" s="42"/>
      <c r="Z129" s="42"/>
      <c r="AA129" s="42"/>
      <c r="AB129" s="42"/>
    </row>
    <row r="130" spans="23:28" ht="12.75">
      <c r="W130" s="42"/>
      <c r="X130" s="42"/>
      <c r="Y130" s="42"/>
      <c r="Z130" s="42"/>
      <c r="AA130" s="42"/>
      <c r="AB130" s="42"/>
    </row>
    <row r="131" spans="23:28" ht="12.75">
      <c r="W131" s="42"/>
      <c r="X131" s="42"/>
      <c r="Y131" s="42"/>
      <c r="Z131" s="42"/>
      <c r="AA131" s="42"/>
      <c r="AB131" s="42"/>
    </row>
    <row r="132" spans="23:28" ht="12.75">
      <c r="W132" s="42"/>
      <c r="X132" s="42"/>
      <c r="Y132" s="42"/>
      <c r="Z132" s="42"/>
      <c r="AA132" s="42"/>
      <c r="AB132" s="42"/>
    </row>
    <row r="133" spans="23:28" ht="12.75">
      <c r="W133" s="42"/>
      <c r="X133" s="42"/>
      <c r="Y133" s="42"/>
      <c r="Z133" s="42"/>
      <c r="AA133" s="42"/>
      <c r="AB133" s="42"/>
    </row>
    <row r="134" spans="23:28" ht="12.75">
      <c r="W134" s="42"/>
      <c r="X134" s="42"/>
      <c r="Y134" s="42"/>
      <c r="Z134" s="42"/>
      <c r="AA134" s="42"/>
      <c r="AB134" s="42"/>
    </row>
    <row r="135" spans="23:28" ht="12.75">
      <c r="W135" s="42"/>
      <c r="X135" s="42"/>
      <c r="Y135" s="42"/>
      <c r="Z135" s="42"/>
      <c r="AA135" s="42"/>
      <c r="AB135" s="42"/>
    </row>
    <row r="136" spans="23:28" ht="12.75">
      <c r="W136" s="42"/>
      <c r="X136" s="42"/>
      <c r="Y136" s="42"/>
      <c r="Z136" s="42"/>
      <c r="AA136" s="42"/>
      <c r="AB136" s="42"/>
    </row>
    <row r="137" spans="23:28" ht="12.75">
      <c r="W137" s="42"/>
      <c r="X137" s="42"/>
      <c r="Y137" s="42"/>
      <c r="Z137" s="42"/>
      <c r="AA137" s="42"/>
      <c r="AB137" s="42"/>
    </row>
    <row r="138" spans="23:28" ht="12.75">
      <c r="W138" s="42"/>
      <c r="X138" s="42"/>
      <c r="Y138" s="42"/>
      <c r="Z138" s="42"/>
      <c r="AA138" s="42"/>
      <c r="AB138" s="42"/>
    </row>
    <row r="139" spans="23:28" ht="12.75">
      <c r="W139" s="42"/>
      <c r="X139" s="42"/>
      <c r="Y139" s="42"/>
      <c r="Z139" s="42"/>
      <c r="AA139" s="42"/>
      <c r="AB139" s="42"/>
    </row>
    <row r="140" spans="23:28" ht="12.75">
      <c r="W140" s="42"/>
      <c r="X140" s="42"/>
      <c r="Y140" s="42"/>
      <c r="Z140" s="42"/>
      <c r="AA140" s="42"/>
      <c r="AB140" s="42"/>
    </row>
    <row r="141" spans="23:28" ht="12.75">
      <c r="W141" s="42"/>
      <c r="X141" s="42"/>
      <c r="Y141" s="42"/>
      <c r="Z141" s="42"/>
      <c r="AA141" s="42"/>
      <c r="AB141" s="42"/>
    </row>
    <row r="142" spans="23:28" ht="12.75">
      <c r="W142" s="42"/>
      <c r="X142" s="42"/>
      <c r="Y142" s="42"/>
      <c r="Z142" s="42"/>
      <c r="AA142" s="42"/>
      <c r="AB142" s="42"/>
    </row>
    <row r="143" spans="23:28" ht="12.75">
      <c r="W143" s="42"/>
      <c r="X143" s="42"/>
      <c r="Y143" s="42"/>
      <c r="Z143" s="42"/>
      <c r="AA143" s="42"/>
      <c r="AB143" s="42"/>
    </row>
    <row r="144" spans="23:28" ht="12.75">
      <c r="W144" s="42"/>
      <c r="X144" s="42"/>
      <c r="Y144" s="42"/>
      <c r="Z144" s="42"/>
      <c r="AA144" s="42"/>
      <c r="AB144" s="42"/>
    </row>
    <row r="145" spans="23:28" ht="12.75">
      <c r="W145" s="42"/>
      <c r="X145" s="42"/>
      <c r="Y145" s="42"/>
      <c r="Z145" s="42"/>
      <c r="AA145" s="42"/>
      <c r="AB145" s="42"/>
    </row>
    <row r="146" spans="23:28" ht="12.75">
      <c r="W146" s="42"/>
      <c r="X146" s="42"/>
      <c r="Y146" s="42"/>
      <c r="Z146" s="42"/>
      <c r="AA146" s="42"/>
      <c r="AB146" s="42"/>
    </row>
    <row r="147" spans="23:28" ht="12.75">
      <c r="W147" s="42"/>
      <c r="X147" s="42"/>
      <c r="Y147" s="42"/>
      <c r="Z147" s="42"/>
      <c r="AA147" s="42"/>
      <c r="AB147" s="42"/>
    </row>
    <row r="148" spans="23:28" ht="12.75">
      <c r="W148" s="42"/>
      <c r="X148" s="42"/>
      <c r="Y148" s="42"/>
      <c r="Z148" s="42"/>
      <c r="AA148" s="42"/>
      <c r="AB148" s="42"/>
    </row>
    <row r="149" spans="23:28" ht="12.75">
      <c r="W149" s="42"/>
      <c r="X149" s="42"/>
      <c r="Y149" s="42"/>
      <c r="Z149" s="42"/>
      <c r="AA149" s="42"/>
      <c r="AB149" s="42"/>
    </row>
    <row r="150" spans="23:28" ht="12.75">
      <c r="W150" s="42"/>
      <c r="X150" s="42"/>
      <c r="Y150" s="42"/>
      <c r="Z150" s="42"/>
      <c r="AA150" s="42"/>
      <c r="AB150" s="42"/>
    </row>
    <row r="151" spans="23:28" ht="12.75">
      <c r="W151" s="42"/>
      <c r="X151" s="42"/>
      <c r="Y151" s="42"/>
      <c r="Z151" s="42"/>
      <c r="AA151" s="42"/>
      <c r="AB151" s="42"/>
    </row>
    <row r="152" spans="23:28" ht="12.75">
      <c r="W152" s="42"/>
      <c r="X152" s="42"/>
      <c r="Y152" s="42"/>
      <c r="Z152" s="42"/>
      <c r="AA152" s="42"/>
      <c r="AB152" s="42"/>
    </row>
    <row r="153" spans="23:28" ht="12.75">
      <c r="W153" s="42"/>
      <c r="X153" s="42"/>
      <c r="Y153" s="42"/>
      <c r="Z153" s="42"/>
      <c r="AA153" s="42"/>
      <c r="AB153" s="42"/>
    </row>
    <row r="154" spans="23:28" ht="12.75">
      <c r="W154" s="42"/>
      <c r="X154" s="42"/>
      <c r="Y154" s="42"/>
      <c r="Z154" s="42"/>
      <c r="AA154" s="42"/>
      <c r="AB154" s="42"/>
    </row>
    <row r="155" spans="23:28" ht="12.75">
      <c r="W155" s="42"/>
      <c r="X155" s="42"/>
      <c r="Y155" s="42"/>
      <c r="Z155" s="42"/>
      <c r="AA155" s="42"/>
      <c r="AB155" s="42"/>
    </row>
    <row r="156" spans="23:28" ht="12.75">
      <c r="W156" s="42"/>
      <c r="X156" s="42"/>
      <c r="Y156" s="42"/>
      <c r="Z156" s="42"/>
      <c r="AA156" s="42"/>
      <c r="AB156" s="42"/>
    </row>
    <row r="157" spans="23:28" ht="12.75">
      <c r="W157" s="42"/>
      <c r="X157" s="42"/>
      <c r="Y157" s="42"/>
      <c r="Z157" s="42"/>
      <c r="AA157" s="42"/>
      <c r="AB157" s="42"/>
    </row>
    <row r="158" spans="23:28" ht="12.75">
      <c r="W158" s="42"/>
      <c r="X158" s="42"/>
      <c r="Y158" s="42"/>
      <c r="Z158" s="42"/>
      <c r="AA158" s="42"/>
      <c r="AB158" s="42"/>
    </row>
    <row r="159" spans="23:28" ht="12.75">
      <c r="W159" s="42"/>
      <c r="X159" s="42"/>
      <c r="Y159" s="42"/>
      <c r="Z159" s="42"/>
      <c r="AA159" s="42"/>
      <c r="AB159" s="42"/>
    </row>
    <row r="160" spans="23:28" ht="12.75">
      <c r="W160" s="42"/>
      <c r="X160" s="42"/>
      <c r="Y160" s="42"/>
      <c r="Z160" s="42"/>
      <c r="AA160" s="42"/>
      <c r="AB160" s="42"/>
    </row>
    <row r="161" spans="23:28" ht="12.75">
      <c r="W161" s="42"/>
      <c r="X161" s="42"/>
      <c r="Y161" s="42"/>
      <c r="Z161" s="42"/>
      <c r="AA161" s="42"/>
      <c r="AB161" s="42"/>
    </row>
    <row r="162" spans="23:28" ht="12.75">
      <c r="W162" s="42"/>
      <c r="X162" s="42"/>
      <c r="Y162" s="42"/>
      <c r="Z162" s="42"/>
      <c r="AA162" s="42"/>
      <c r="AB162" s="42"/>
    </row>
    <row r="163" spans="23:28" ht="12.75">
      <c r="W163" s="42"/>
      <c r="X163" s="42"/>
      <c r="Y163" s="42"/>
      <c r="Z163" s="42"/>
      <c r="AA163" s="42"/>
      <c r="AB163" s="42"/>
    </row>
    <row r="164" spans="23:28" ht="12.75">
      <c r="W164" s="42"/>
      <c r="X164" s="42"/>
      <c r="Y164" s="42"/>
      <c r="Z164" s="42"/>
      <c r="AA164" s="42"/>
      <c r="AB164" s="42"/>
    </row>
    <row r="165" spans="23:28" ht="12.75">
      <c r="W165" s="42"/>
      <c r="X165" s="42"/>
      <c r="Y165" s="42"/>
      <c r="Z165" s="42"/>
      <c r="AA165" s="42"/>
      <c r="AB165" s="42"/>
    </row>
    <row r="166" spans="23:28" ht="12.75">
      <c r="W166" s="42"/>
      <c r="X166" s="42"/>
      <c r="Y166" s="42"/>
      <c r="Z166" s="42"/>
      <c r="AA166" s="42"/>
      <c r="AB166" s="42"/>
    </row>
    <row r="167" spans="23:28" ht="12.75">
      <c r="W167" s="42"/>
      <c r="X167" s="42"/>
      <c r="Y167" s="42"/>
      <c r="Z167" s="42"/>
      <c r="AA167" s="42"/>
      <c r="AB167" s="42"/>
    </row>
    <row r="168" spans="23:28" ht="12.75">
      <c r="W168" s="42"/>
      <c r="X168" s="42"/>
      <c r="Y168" s="42"/>
      <c r="Z168" s="42"/>
      <c r="AA168" s="42"/>
      <c r="AB168" s="42"/>
    </row>
    <row r="169" spans="23:28" ht="12.75">
      <c r="W169" s="42"/>
      <c r="X169" s="42"/>
      <c r="Y169" s="42"/>
      <c r="Z169" s="42"/>
      <c r="AA169" s="42"/>
      <c r="AB169" s="42"/>
    </row>
  </sheetData>
  <mergeCells count="60">
    <mergeCell ref="T20:T21"/>
    <mergeCell ref="T29:T30"/>
    <mergeCell ref="T34:T35"/>
    <mergeCell ref="U20:U21"/>
    <mergeCell ref="U29:U30"/>
    <mergeCell ref="U34:U35"/>
    <mergeCell ref="R29:R30"/>
    <mergeCell ref="R34:R35"/>
    <mergeCell ref="S20:S21"/>
    <mergeCell ref="S29:S30"/>
    <mergeCell ref="S34:S35"/>
    <mergeCell ref="M20:M21"/>
    <mergeCell ref="M29:M30"/>
    <mergeCell ref="M34:M35"/>
    <mergeCell ref="K20:K21"/>
    <mergeCell ref="K29:K30"/>
    <mergeCell ref="K34:K35"/>
    <mergeCell ref="L20:L21"/>
    <mergeCell ref="L29:L30"/>
    <mergeCell ref="L34:L35"/>
    <mergeCell ref="I20:I21"/>
    <mergeCell ref="I29:I30"/>
    <mergeCell ref="I34:I35"/>
    <mergeCell ref="J20:J21"/>
    <mergeCell ref="J29:J30"/>
    <mergeCell ref="J34:J35"/>
    <mergeCell ref="F20:F21"/>
    <mergeCell ref="F29:F30"/>
    <mergeCell ref="H34:H35"/>
    <mergeCell ref="F34:F35"/>
    <mergeCell ref="G20:G21"/>
    <mergeCell ref="G29:G30"/>
    <mergeCell ref="G34:G35"/>
    <mergeCell ref="H20:H21"/>
    <mergeCell ref="H29:H30"/>
    <mergeCell ref="C34:C35"/>
    <mergeCell ref="D20:D21"/>
    <mergeCell ref="D34:D35"/>
    <mergeCell ref="E20:E21"/>
    <mergeCell ref="E29:E30"/>
    <mergeCell ref="E34:E35"/>
    <mergeCell ref="C20:C21"/>
    <mergeCell ref="C29:C30"/>
    <mergeCell ref="D29:D30"/>
    <mergeCell ref="N20:N21"/>
    <mergeCell ref="N29:N30"/>
    <mergeCell ref="N34:N35"/>
    <mergeCell ref="O29:O30"/>
    <mergeCell ref="O34:O35"/>
    <mergeCell ref="O20:O21"/>
    <mergeCell ref="V20:V21"/>
    <mergeCell ref="V29:V30"/>
    <mergeCell ref="V34:V35"/>
    <mergeCell ref="P29:P30"/>
    <mergeCell ref="P34:P35"/>
    <mergeCell ref="P20:P21"/>
    <mergeCell ref="Q20:Q21"/>
    <mergeCell ref="Q29:Q30"/>
    <mergeCell ref="Q34:Q35"/>
    <mergeCell ref="R20:R21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DTTDC12</cp:lastModifiedBy>
  <dcterms:created xsi:type="dcterms:W3CDTF">1996-10-14T23:33:28Z</dcterms:created>
  <dcterms:modified xsi:type="dcterms:W3CDTF">2013-11-13T08:53:28Z</dcterms:modified>
  <cp:category/>
  <cp:version/>
  <cp:contentType/>
  <cp:contentStatus/>
</cp:coreProperties>
</file>